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607" activeTab="0"/>
  </bookViews>
  <sheets>
    <sheet name="Прил1" sheetId="1" r:id="rId1"/>
    <sheet name="Прил2" sheetId="2" r:id="rId2"/>
    <sheet name="Прил3" sheetId="3" r:id="rId3"/>
    <sheet name="Прил 5" sheetId="4" r:id="rId4"/>
    <sheet name="ПРл 6" sheetId="5" r:id="rId5"/>
    <sheet name="Прил7" sheetId="6" r:id="rId6"/>
    <sheet name="Прил8" sheetId="7" r:id="rId7"/>
  </sheets>
  <definedNames>
    <definedName name="_xlnm.Print_Area" localSheetId="3">'Прил 5'!$A$1:$Q$127</definedName>
    <definedName name="_xlnm.Print_Area" localSheetId="0">'Прил1'!$A$1:$F$161</definedName>
    <definedName name="_xlnm.Print_Area" localSheetId="1">'Прил2'!$A$1:$M$205</definedName>
    <definedName name="_xlnm.Print_Area" localSheetId="2">'Прил3'!$A$1:$M$331</definedName>
    <definedName name="_xlnm.Print_Area" localSheetId="5">'Прил7'!$A$1:$H$134</definedName>
    <definedName name="_xlnm.Print_Area" localSheetId="6">'Прил8'!$A$1:$G$145</definedName>
    <definedName name="_xlnm.Print_Area" localSheetId="4">'ПРл 6'!$A$1:$G$30</definedName>
  </definedNames>
  <calcPr fullCalcOnLoad="1"/>
</workbook>
</file>

<file path=xl/sharedStrings.xml><?xml version="1.0" encoding="utf-8"?>
<sst xmlns="http://schemas.openxmlformats.org/spreadsheetml/2006/main" count="1726" uniqueCount="861">
  <si>
    <t>Приобретение сборно-разборных трибун</t>
  </si>
  <si>
    <t>Приобретение оргтехники</t>
  </si>
  <si>
    <t>75</t>
  </si>
  <si>
    <t>Часть чистой прибыли (доходу) государственных или коммунальных унитарных предприятий и их объединений, которая отчисляется в соответствующий бюджет, и дивиденды (доход), начисленные на акции (доли , паи) хозяйственных обществ, в уставных капиталах которых есть государственная или коммунальная собственность</t>
  </si>
  <si>
    <t>Часть чистой прибыли (доходу) коммунальных унитарных предприятий и их объединений, которая отчисляется в соответствующий местный бюджет</t>
  </si>
  <si>
    <t>Прочие поступления</t>
  </si>
  <si>
    <t xml:space="preserve">Штрафные санкции за нарушение законодательства о патентовании, за нарушение норм регулирования объёма наличности и  о применении регистраторов расчётных операций в сфере торговли, общественного питания и услуг  </t>
  </si>
  <si>
    <t>Льготы отдельным категориям граждан на услуги связи (субвенция из Государственного бюджета Украины)</t>
  </si>
  <si>
    <t>Льготы  многодетным семьям на жилищно-коммунальные услуги (субвенция из Государственного бюджета Украины)</t>
  </si>
  <si>
    <t>Землеустройство</t>
  </si>
  <si>
    <t>Сельское и лесное хозяйство, рыбное хозяйство и охота</t>
  </si>
  <si>
    <t xml:space="preserve">комплексная городская  программа санаторно-курортного и туристического комплекса г.Евпатории на 2012-2015годы </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</si>
  <si>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проведение таких торгов</t>
  </si>
  <si>
    <t>Методическая работа, другие мероприятия в сфере народного образования</t>
  </si>
  <si>
    <t>Централизованные бухгалтерии областных, городских, районных отделов образования</t>
  </si>
  <si>
    <t xml:space="preserve">Помощь по уходу за инвалидом 1 и 2 группы вследствие психического расстройства </t>
  </si>
  <si>
    <t>091207</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</si>
  <si>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(субвенция из бюджета Республики Крым)</t>
  </si>
  <si>
    <t>Государственная социальная помощь инвалидам с детства и детям-инвалидам (субвенция из бюджета Республики Крым)</t>
  </si>
  <si>
    <t>Управление капитального строительства Евпаторийского городского совета</t>
  </si>
  <si>
    <r>
      <t xml:space="preserve">от 08.10.2014г.  №1-2/1 </t>
    </r>
    <r>
      <rPr>
        <sz val="12"/>
        <rFont val="Times New Roman"/>
        <family val="1"/>
      </rPr>
      <t xml:space="preserve">  </t>
    </r>
  </si>
  <si>
    <t xml:space="preserve">от 08.10.2014г.   № 1-2/1   </t>
  </si>
  <si>
    <t xml:space="preserve">от 08.10.2014г. № 1-2/1  </t>
  </si>
  <si>
    <t xml:space="preserve">от 08.10.2014г.  № 1-2/1 </t>
  </si>
  <si>
    <r>
      <t xml:space="preserve">от 08.10.2014г.  № 1-2/1  </t>
    </r>
    <r>
      <rPr>
        <sz val="12"/>
        <rFont val="Times New Roman"/>
        <family val="1"/>
      </rPr>
      <t xml:space="preserve"> </t>
    </r>
  </si>
  <si>
    <t>от 08.10.2014г.  № 1-2/1</t>
  </si>
  <si>
    <t>от 08.10.2014г. № 1-2/1</t>
  </si>
  <si>
    <t>210106</t>
  </si>
  <si>
    <t>250102</t>
  </si>
  <si>
    <t>250311</t>
  </si>
  <si>
    <t>250315</t>
  </si>
  <si>
    <t>250352</t>
  </si>
  <si>
    <t>250380</t>
  </si>
  <si>
    <t>Наименование главного распорядителя бюджетных средств</t>
  </si>
  <si>
    <t>Внешкольные учебные заведения, мероприятия по внешкольной работе с детьми</t>
  </si>
  <si>
    <t>к решению городского совета</t>
  </si>
  <si>
    <t>Содержание клубов подростков по месту жительства</t>
  </si>
  <si>
    <t>Спортмероприятия</t>
  </si>
  <si>
    <t>Управление по делам семьи и молодежи Евпаторийского городского совета</t>
  </si>
  <si>
    <t>Компенсационные выплаты за льготный проезд отдельных категорий граждан на железнодорожном транспорте (субвенция из бюджета Республики Крым)</t>
  </si>
  <si>
    <t>Компенсационные выплаты на льготный проезд электротранспортом отдельным категориям граждан (субвенция из бюджета Республики Крым)</t>
  </si>
  <si>
    <t xml:space="preserve">Расходы на проведение работ, связанных со строительством, реконструкцией, ремонтом и содержанием автомобильных дорог (кредиторская задолженность) </t>
  </si>
  <si>
    <t>Расходы на проведение работ, связанных со строительством, реконструкцией, ремонтом и содержанием автомобильных дорог (субвенция из Государственного бюджета )</t>
  </si>
  <si>
    <t>Расходы на проведение работ, связанных со строительством, реконструкцией, ремонтом и содержанием автомобильных дорог (субвенция из бюджета Республики Крым )</t>
  </si>
  <si>
    <t>Департамент по развитию территории  Евпаторийского городского совета</t>
  </si>
  <si>
    <t>Программа развития земельных отношений на территории города Евпатории на 2010-2015 годы (решение городского совета от 02.07.2010г. №5-62/2)</t>
  </si>
  <si>
    <t>Программы создания Службы градостроительного кадастра в г.Евпатория на 2012-2015гг.( решение городского совета от 28.12.2011г №6-19/9)</t>
  </si>
  <si>
    <t>Программа развития и реформирования жилищно коммунального хозяйства в г.Евпатории на 2011-2015гг ( решение городского совета от26.11.2010г.  №6-2/4)</t>
  </si>
  <si>
    <t>Комплексная программа гражданской защиты населения и территорий г.Евпатории на 2011-2015 годы (решение городского совета от 25.11.2011г. №6-16/10)</t>
  </si>
  <si>
    <t>О3</t>
  </si>
  <si>
    <t>Программа содействия развитию гражданского общества в г.Евпатории на 2014-2017 годы (решение городского совета от 23.08.2013г. № 6-45/3)</t>
  </si>
  <si>
    <t>Субвенция на увеличение финансовых нормативов для оказания социальных услуг получателям, проживающим в границах территориальной громады п.Мирный, на оказание услуг первичной медицинской помощи врачебной амбулаторией</t>
  </si>
  <si>
    <t>Субвенция на увеличение финансовых нормативов для оказания социальных услуг получателям, проживающим в границах территориальной громады Заозерненского поселкового совета, на оказание услуг в рамках программы "Здоровые дети пгт. Заозерное"</t>
  </si>
  <si>
    <t>Субвенция из Новоозерновского поселкового бюджета городскому бюджету (возврат субвенции на осуществление расходов по выплате заработной платы)</t>
  </si>
  <si>
    <t>Субвенция из Заозерненского поселкового бюджета городскому бюджету (возврат субвенции на осуществление расходов по выплате заработной платы)</t>
  </si>
  <si>
    <t>Субвенция на проведение расходов местных бюджетов, которые учитываются при определении объема межбюджетных трансфертов, в том числе:</t>
  </si>
  <si>
    <t xml:space="preserve"> -из бюджета Республики Крым, из них:</t>
  </si>
  <si>
    <t xml:space="preserve">       на захоронение участников боевых действий и инвалидов войны </t>
  </si>
  <si>
    <t xml:space="preserve">       на  предоставление помощи по уходу  за инвалидом 1 или 2 группы вследствие психического расстройства</t>
  </si>
  <si>
    <t xml:space="preserve">       на предоставление льгот по медицинскому обслуживанию гражданам, пострадавшим вследствие Чернобыльской катастрофы</t>
  </si>
  <si>
    <t xml:space="preserve">       на компенсационные выплаты инвалидам на бензин, ремонт, техобслуживание автотранспорта и транспортное обслуживание, предоставление льгот на установку телефонов инвалидам 1 и 2 групп</t>
  </si>
  <si>
    <t>Субвенция на проведение расходов местных бюджетов, которые не учитываются при определении объема межбюджетных трансфертов, в том числе:</t>
  </si>
  <si>
    <t xml:space="preserve">       на прочие расходы на социальную защиту населения (мероприятия по социальной поддержке малообеспеченных граждан, инвалидов и других категорий граждан)</t>
  </si>
  <si>
    <t xml:space="preserve">  на компенсацию собственных поступлений бюджетных учреждений, заблокированных в органах Государственной казначейской службы Украины</t>
  </si>
  <si>
    <t xml:space="preserve">  на инвестиционные проекты по социально-экономическому развитию</t>
  </si>
  <si>
    <t>Субвенция на выплату государственной социальной помощи на детей-сирот и детей, лишенных родительского попечительства, денежного обеспечения родителям - 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t>
  </si>
  <si>
    <t>Субвенция  из бюджета Республики Крым на проведение выборов депутатов представительных органов муниципальных образований в Республике Крым</t>
  </si>
  <si>
    <t>Целевые фонды</t>
  </si>
  <si>
    <t>Прочие фонды</t>
  </si>
  <si>
    <t>Целевые фонды, образованные органами местного самоуправления и местными органами исполнительной власти</t>
  </si>
  <si>
    <t>в т.ч.:фонд развития инфраструктуры города</t>
  </si>
  <si>
    <t>Всего доходов</t>
  </si>
  <si>
    <t xml:space="preserve">   </t>
  </si>
  <si>
    <t>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</si>
  <si>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Расходы на проведение работ, связанных со строительством, реконструкцией, ремонтом и содержанием автомобильных дорог (кредиторская  задолженность по субвенция)</t>
  </si>
  <si>
    <t xml:space="preserve">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t>
  </si>
  <si>
    <t>в т.ч.  на реализацию мероприятий Государственной программы Республики Крым "Модернизация финансовой системы Республики Крым на 2014 год"(Субвенция из бюджета Республики Крым)</t>
  </si>
  <si>
    <t>Предоставление иных межбюджетных трансфертов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 ( Субвенция из бюджета Республики Крым)</t>
  </si>
  <si>
    <t xml:space="preserve">Предоставление иных межбюджетных трансфертов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годы"(субвенция из бюджета Республики Крым) </t>
  </si>
  <si>
    <t>Реконструкция детского сада "Космос" в г.Евпатории. Корректировка( субвенция из бюджета Республики Крым)</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</si>
  <si>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населения(субсидия из бюджета Республики Крым)</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</si>
  <si>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населения(субсидии из бюджета Республики Крым)</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</si>
  <si>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</si>
  <si>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На адаптацию путей движения к объекту входной группы, зоны приема, санитарно-гигиенического оборудования, на оборудование физкультурно-спортивных площадок, на проведение прочих работ (субсидия из бюджета Республики Крым)</t>
  </si>
  <si>
    <t xml:space="preserve">Строительство котельной по ул.5-й Авиагородок  в г.Евпатория </t>
  </si>
  <si>
    <t xml:space="preserve">Установка телефонов инвалидам 1 и 2 групп </t>
  </si>
  <si>
    <t>О91304</t>
  </si>
  <si>
    <t>Проведение инвентаризации земель пгт.Новоозерное</t>
  </si>
  <si>
    <t>на улучшение предоставления социальных услуг наиболее незащещенным слоям населения</t>
  </si>
  <si>
    <t>На обеспечение государственных гарантий бесплатного оказания гражданам медицинской помощи</t>
  </si>
  <si>
    <t xml:space="preserve">На обеспечение государственных гарантий бесплатного оказания гражданам медицинской помощи поселковым бюджетам Мирный и Новоозерный </t>
  </si>
  <si>
    <t>На финансирование программ-победителей одиннадцатого Всекрымского конкурса проектов и программ развития местного самоуправления</t>
  </si>
  <si>
    <t>На реализацию мероприятий Государственной программы Республики Крым "Модернизация финансовой системы Республики Крым на 2014 год"( субвенция из бюджета Республики Крым)</t>
  </si>
  <si>
    <t>На компенсацию собственных поступлений бюджетных учреждений, заблокированных в органах Государственной казначейской службы Украины ( субвенция из бюджета Республики Крым)</t>
  </si>
  <si>
    <t>На инвестиционные проекты по социально-экономическому развитию ( субвенция из бюджета Республики Крым)</t>
  </si>
  <si>
    <t xml:space="preserve"> Расходы за счет иных межбюджетные трансферты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</si>
  <si>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Приложение 8</t>
  </si>
  <si>
    <t>от 24.01.2014г.  № 6-55/9_</t>
  </si>
  <si>
    <t>Перечень местных программ, финансируемых за счет средств городского бюджета в 2014 году</t>
  </si>
  <si>
    <t>Код типовой ведомственной классификации расходов местного бюджета</t>
  </si>
  <si>
    <t>Наименование главного распорядителя средств</t>
  </si>
  <si>
    <t>Код временной классификации  расходов и кредитования местных бюджетов</t>
  </si>
  <si>
    <t>Наименование кода временной класификации расходов и кредитование местных бюджетов</t>
  </si>
  <si>
    <t>Наименование программ</t>
  </si>
  <si>
    <t>Сумма</t>
  </si>
  <si>
    <t>Управление образования Евпаторийского городского совета</t>
  </si>
  <si>
    <t>О70101</t>
  </si>
  <si>
    <t>Приложение 6</t>
  </si>
  <si>
    <t>Источники финансирования городского бюджета на 2014 год</t>
  </si>
  <si>
    <t>Код</t>
  </si>
  <si>
    <t>Финансирование бюджета по типу кредитора</t>
  </si>
  <si>
    <t xml:space="preserve">Внутреннее финансирование </t>
  </si>
  <si>
    <t xml:space="preserve">Финансирование за счет изменения остатков средств бюджетов  </t>
  </si>
  <si>
    <t>На начало периода</t>
  </si>
  <si>
    <t>На конец периода</t>
  </si>
  <si>
    <t>Средства, полученные из общего фонда бюджета в бюджет развития (специального фонда)</t>
  </si>
  <si>
    <t>Всего по типу кредитора</t>
  </si>
  <si>
    <t>Финансирование бюджета по типу долгового обязательства</t>
  </si>
  <si>
    <t>Финансирование по активным операциям</t>
  </si>
  <si>
    <t>Изменения объемов наличных средств</t>
  </si>
  <si>
    <t>Всего по типу долгового обязательства</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</si>
  <si>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 и начальственного состава </t>
  </si>
  <si>
    <t>Помощь по уходу за инвалидом 1 и 2 группы вследствие психического расстройства (субвенция из бюджета АРК)</t>
  </si>
  <si>
    <t>Архив Евпаторийского городского совета</t>
  </si>
  <si>
    <t>мероприятия по развитию инфраструктуры города и инвестиционных проектов</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</si>
  <si>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 вслужбы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t>
  </si>
  <si>
    <t>Департамент финансов и экономического развития  Евпаторийского городского совета</t>
  </si>
  <si>
    <t>Управление городского хозяйства Евпаторийского городского совета</t>
  </si>
  <si>
    <t>Дошкольные учебные заведения</t>
  </si>
  <si>
    <t>Временная государственная помощь детям (субвенция из Государственного бюджета Украины)</t>
  </si>
  <si>
    <t>Помощь при усыновлении ребенка (субвенция из Государственного бюджета Украины)</t>
  </si>
  <si>
    <t>Государственная социальная помощь малообеспеченным семьям (субвенция из Государственного бюджета Украины)</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</si>
  <si>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АРК)</t>
  </si>
  <si>
    <t>мероприятия по реализации программы развития и реформирования жилищно-коммунального хозяйства г.Евпатории на 2011-2015 годы</t>
  </si>
  <si>
    <t xml:space="preserve">41030601Субвенция из Государственного бюджета местным бюджетам на выплату помощи семьям с детьми, малообеспеченным семьям, инвалидам с детства, детям- инвалидам и временной государственной помощи детям </t>
  </si>
  <si>
    <t>4130801Субвенция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водоотведения, квартирной платы (содержание домов, сооружений и придомовой территории), вывоза бытового мусора и жидких нечистот</t>
  </si>
  <si>
    <t>41030901Субвенция из государственного бюджета местным бюджетам на предоставление льгот  по  услугам связи и других предусмотренных законодательством льгот (кроме льгот на получение лекарств, зубопротезирование, оплату электроэнергии, природного и сжиженного газа на бытовые нужды, твердого и жидкого печного бытового топлива, услуг тепло-, водоснабжения и водоотведения,  квартирной платы (содержание домов и сооружений и придомовых территорий,вывоз бытового мусора и жидких нечистот),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топлива и на компенсацию за льготный проезд отдельных категорий граждан</t>
  </si>
  <si>
    <t>41031001Субвенция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t>
  </si>
  <si>
    <t>41035800 Субвенция из государственного бюджета на выплату государственной социальной помощи на детей сирот и детей, лишенных родительского попечительства,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t>
  </si>
  <si>
    <t>Компенсационные выплаты на льготный проезд электротранспортом отдельным категориям граждан (субвенция из Государственного бюджета Украины)</t>
  </si>
  <si>
    <t xml:space="preserve"> и начальственного состава 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t>
  </si>
  <si>
    <t xml:space="preserve">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  на жилищно-коммунальные услуги</t>
  </si>
  <si>
    <t xml:space="preserve">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t>
  </si>
  <si>
    <t>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госбюджета)</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</si>
  <si>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</si>
  <si>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 xml:space="preserve">Компенсационные выплаты на льготный проезд автомобильным транспортом отдельных категорий граждан </t>
  </si>
  <si>
    <t>Компенсационные выплаты за льготный проезд отдельных категорий граждан на железнодорожном транспорте</t>
  </si>
  <si>
    <t xml:space="preserve">Компенсационные выплаты на льготный проезд электротранспортом отдельных категорий граждан </t>
  </si>
  <si>
    <t>Льготы ветеранам войны, лицам, на которые распространяется действие Закона Украины "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t>
  </si>
  <si>
    <t>Предоставление общего среднего образования общеобразовательными учебными заведениями (в том числе школой-детским садом, интернатом при школе), специализированными школами, лицеями, гимназиями, коллегиумами</t>
  </si>
  <si>
    <t>О91108</t>
  </si>
  <si>
    <t>Мероприятия по оздоровлению и отдыху детей, кроме мероприятий по оздоровлению детей, который осуществляются за счет средств на оздоровление граждан, которые пострадали вследствие Чернобыльской катастрофы</t>
  </si>
  <si>
    <t>Комплексная Программа поддержки семьи, детей, молодежи, обеспечения равных прав и возможностей женщин и мужчин в г.Евпатории на 2012-2015 годы (решение городского совета от 24.06.2011г. №6-9/2)</t>
  </si>
  <si>
    <t>О70401</t>
  </si>
  <si>
    <t>Предоставление внешкольного образования внешкольными учреждениями образования, мероприятия по внешкольной работе с детьми</t>
  </si>
  <si>
    <t>Программа развития внешкольных учебных заведений города  Евпратории  на 2012-2015 годы (решение городского совета от 26.08.2011г. №6-12/3)</t>
  </si>
  <si>
    <t>Содержания и учебно-тренировочная работа детско-юношеских спортивных школ</t>
  </si>
  <si>
    <t>Программа развития массовой физической культуры и спорта высших достижений города Евпатории на 2012-2015 годы (решение городского совета от 26.08.2011г. №6-12/2)</t>
  </si>
  <si>
    <t>Программа развития образования в городе Евпатории на 2013-2016 годы (решение городского совета от 27.07.2012г. №6-26/6)</t>
  </si>
  <si>
    <t>Программа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 решение городского совета от 27.01.2012 №6-20/10)</t>
  </si>
  <si>
    <t>Городская программа "Здоровье жителей города Евпатории на 2012-2015 годы(решение городского совета от 25.11.2011года №6-16/26)</t>
  </si>
  <si>
    <t>Приложение 7</t>
  </si>
  <si>
    <t>Перечень объектов,</t>
  </si>
  <si>
    <t xml:space="preserve">расходы на которые в 2014 году будут проводиться за счет средств бюджета развития       </t>
  </si>
  <si>
    <t xml:space="preserve">   руб</t>
  </si>
  <si>
    <t xml:space="preserve">Код типовой ведомственной классификации расходов местных бюджетов           </t>
  </si>
  <si>
    <t xml:space="preserve">Нименование главного распорядителя средств              </t>
  </si>
  <si>
    <t xml:space="preserve">Название объекта в соответствии с проектно-сметной документацией </t>
  </si>
  <si>
    <t>Комплексная программа обеспечения межнационального согласия, обустройства и социально-культурного развития депортированных граждан в г.Евпатория на 2012-2015 годы (решение городского совета от 24.06.2011г. №6-9/3)</t>
  </si>
  <si>
    <t>Проведение учебно-тренировочных сборов и соревнований</t>
  </si>
  <si>
    <t>Управление труда и социальной защиты населения Евпаторийского городского совета</t>
  </si>
  <si>
    <t>О91204</t>
  </si>
  <si>
    <t>Программа развития коммунального учреждения "Евпаторийский городской территориальный центр социального обслуживания (предоставление социальных услуг)" на 2013-2015 годы (решение городского совета от 27.06.2012 № 6-25/2)</t>
  </si>
  <si>
    <t>О91205</t>
  </si>
  <si>
    <t>Льготы, которые предоставляются населению (кроме ветеранов войны и труда, войсковой службы, органов внутренних дел и гражданам, которые пострадали вследствие Чернобыльской катастрофы), на оплату жилищно-коммунальных услуг и природного газа</t>
  </si>
  <si>
    <t>О91209</t>
  </si>
  <si>
    <t>О91103</t>
  </si>
  <si>
    <t>О91106</t>
  </si>
  <si>
    <t>Другие расходы</t>
  </si>
  <si>
    <t>О91105</t>
  </si>
  <si>
    <t>Программа развития внешкольных учебных заведений города Евпатории на 2012-2015 годы (решение городского совета от 26.08.2011г. №6-12/3)</t>
  </si>
  <si>
    <t>Административные штрафы и прочие санкции</t>
  </si>
  <si>
    <t>Административные сборы и платежи, доходы от некоммерческой хозяйственной деятельности</t>
  </si>
  <si>
    <t xml:space="preserve">Поступления от арендной платы за пользование целостным имущественным комплексом и другим государственным имуществом </t>
  </si>
  <si>
    <t>Поступления от арендной платы за пользование целостным имущественным комплексом и другим имуществом, находящимся  в коммунальной собственности</t>
  </si>
  <si>
    <t>Государственная пошлина</t>
  </si>
  <si>
    <t>Государственная пошлина, которая уплачивается по месту рассмотрения и оформления документов, в том числе за оформление документов на наследство и дарение</t>
  </si>
  <si>
    <t xml:space="preserve">Государственная пошлина, связанная с выдачей и оформлением загранпаспортов (свидетельств) и паспортов граждан Украины </t>
  </si>
  <si>
    <t>Прочие неналоговые поступления</t>
  </si>
  <si>
    <t>Денежные взыскания за ущерб, причинённый нарушением законодательства об охране окружающей природной среды вследствие хозяйственной и прочей деятельности</t>
  </si>
  <si>
    <t>Поступление средств паевого участия в развитии инфраструктуры населенного пункта</t>
  </si>
  <si>
    <t>Собственные поступления бюджетных учреждений</t>
  </si>
  <si>
    <t>Поступление от платы за услуги, которые предоставляются бюджетными учреждениями согласно законодательству</t>
  </si>
  <si>
    <t>Плата за услуги, которые предоставляются бюджетными учреждениями согласно их основной деятельности</t>
  </si>
  <si>
    <t>Поступления бюджетных учреждений от дополнительной (хозяйственной) деятельности</t>
  </si>
  <si>
    <t xml:space="preserve">Плата за аренду имущества бюджетных учреждений </t>
  </si>
  <si>
    <t>Поступления бюджетных учреждений от реализации в установленном порядке имущества (кроме недвижимого имущества)</t>
  </si>
  <si>
    <t>Доходы от операций с капиталом</t>
  </si>
  <si>
    <t>Поступления от продажи основного капитала</t>
  </si>
  <si>
    <t>Средства от реализации бесхозяйного имущества, находок, наследственного имущества, имущества, полученного территориальной громадой в порядке наследования или дарения, а также валютные ценности и денежные средства, владельцы которых неизвестны</t>
  </si>
  <si>
    <t>Средства от отчуждения имущества, которое принадлежит Республике Крым и имущества, которое находится в коммунальной собственности</t>
  </si>
  <si>
    <t>Средства от продажи земли</t>
  </si>
  <si>
    <t xml:space="preserve">Средства от продажи земельных участков несельскохозяйственного назначения, которые находятся в государственной или коммунальной собственности, и земельных участков, которые находятся на территории Республики Крым </t>
  </si>
  <si>
    <t>Официальные трансферты</t>
  </si>
  <si>
    <t>От органов государственного управления</t>
  </si>
  <si>
    <t>Средства, которые поступают из других бюджетов</t>
  </si>
  <si>
    <t>Средства, которые поступают  в районные и городские (городов Киева и Севастополя, городов республиканского и областного значения) бюджеты из городских (городов районного значения), поселковых, сельских и районных в городах бюджетов</t>
  </si>
  <si>
    <t>Дотации</t>
  </si>
  <si>
    <t>Дотации выравнивания из государственного бюджета местным бюджетам (из Государственного бюджета Украины)</t>
  </si>
  <si>
    <t>Дополнительная дотация на выравнивание финансовой обеспеченности местных бюджетов (из бюджета Республики Крым)</t>
  </si>
  <si>
    <t>Иные межбюджетные трансферты бюджету Республики Крым,</t>
  </si>
  <si>
    <t>в том числе:</t>
  </si>
  <si>
    <t>дотация выравнивания</t>
  </si>
  <si>
    <t>предоставление иных межбюджетных трансфертов бюджету Республики Крым на модернизацию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t>
  </si>
  <si>
    <t>Субвенции</t>
  </si>
  <si>
    <t>Иные межбюджетные трансферты бюджету Республики Крым на финансовое обеспечение в 2014 году дорожной деятельности на дорогах общего пользования регионального или межмуниципального значения и автомобильных дорогах общего пользования местного значения</t>
  </si>
  <si>
    <t>Субвенция местным бюджетам на выплату помощи семьям с детьми, малообеспеченным семьям, инвалидам с детства, детям-инвалидам и временной государственной помощи детям</t>
  </si>
  <si>
    <t>в том числе:  из государственного бюджета Украины</t>
  </si>
  <si>
    <t xml:space="preserve">                         из бюджета Республики Крым</t>
  </si>
  <si>
    <t>Компенсационные выплаты инвалидам на бензин, ремонт, техобслуживание автотранспорта и транспортное обслуживание (субвенция из бюджета РК)</t>
  </si>
  <si>
    <t>Установка телефонов инвалидам 1 и 2 групп (субвенция из бюджета РК)</t>
  </si>
  <si>
    <t>к  решению    городского  совета</t>
  </si>
  <si>
    <t>субсидия из федерального бюджета бюджету Республики Крым на реализацию мероприятий,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</si>
  <si>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Республики Крым)</t>
  </si>
  <si>
    <t>Реконструкция детского сада "Космос" в г.Евпатории. Корректировка</t>
  </si>
  <si>
    <t>Приложение  1</t>
  </si>
  <si>
    <t>Капитальный ремонт второго этажа родильного отделения</t>
  </si>
  <si>
    <t>Капитальный ремонт кабинета маммографии</t>
  </si>
  <si>
    <t xml:space="preserve">Приобретение технологического автотранспорта для укомплектования пунктов неотложной медицинской помощи при поликлиниках </t>
  </si>
  <si>
    <t xml:space="preserve">Приобретение сервера и компьютеров с програмным обеспечением </t>
  </si>
  <si>
    <t xml:space="preserve">Капитальный ремонт хозпитьевого и противопожарного водоснабжения </t>
  </si>
  <si>
    <t xml:space="preserve">Капитальный ремонт  наружных сетей электроснабжения </t>
  </si>
  <si>
    <t>Капитальный ремонт хозпитьевого и противопожарного водоснабжения (погашение задолженности за 2013 год)</t>
  </si>
  <si>
    <t>Капитальный ремонт  наружных сетей электроснабжения (погашение задолженности за 2013 год)</t>
  </si>
  <si>
    <t>Субвенция на финансирование программ-победителей одиннадцатого Всекрымского конкурса проектов и программ развития местного самоуправления "Медицина третьего тысячелетия</t>
  </si>
  <si>
    <t xml:space="preserve">Мероприятия по разработке детальных планов отдельных территорий города </t>
  </si>
  <si>
    <t>Работы по проведению экспертной денежной оценки земельных участков несельскохозяйственного назначения</t>
  </si>
  <si>
    <t>Обновление плана зонирования территории г.Евпатория</t>
  </si>
  <si>
    <t>Корректировка санитарных зон г.Евпатория</t>
  </si>
  <si>
    <t>Подготовка земельных участков несельскохозяйственного назначения или прав на них коммунальной собственности для продажи на земельных торгах и проведения таких торгов</t>
  </si>
  <si>
    <t>Проведение земельных торгов (аукционов) по продаже права аренды  свободных земельных участков несельскохозяйственного назначения</t>
  </si>
  <si>
    <t xml:space="preserve">Обновление градостроительной документации </t>
  </si>
  <si>
    <t>Мероприятия по разработке детальных планов отдельных территорий города (погашение задолженности за 2013 год)</t>
  </si>
  <si>
    <t>Работы по проведению экспертной денежной оценки земельных участков (погашение задолженности за 2013 год)</t>
  </si>
  <si>
    <t>Обновление градостроительной документации (погашение задолженности за 2013 год)</t>
  </si>
  <si>
    <t>10</t>
  </si>
  <si>
    <t>Капитальный ремонт пищеблока и вентиляции</t>
  </si>
  <si>
    <t>Капитальный ремонт перекрытия ЕОШ №2</t>
  </si>
  <si>
    <t>Капитальный ремонт системы отопления ЕУВК, ЕОШ,ДУЗ</t>
  </si>
  <si>
    <t>Капитальный ремонт помещений спортзала</t>
  </si>
  <si>
    <t>Капитальный ремонт кровли ДУЗ,ЕУВК</t>
  </si>
  <si>
    <t>Приобретение компьютерной техники ,програмное обеспечение</t>
  </si>
  <si>
    <t xml:space="preserve">Приобретение оборудования навигации для школьного автобуса </t>
  </si>
  <si>
    <t xml:space="preserve">Капитальный ремонт актового зала ЕОШ </t>
  </si>
  <si>
    <t>Приобретение  оборудования и компьютерной техники для СЮН</t>
  </si>
  <si>
    <t>Приобретение технических средств  для кружков СЮТ</t>
  </si>
  <si>
    <t>Приобретение классных досок</t>
  </si>
  <si>
    <t>Капитальный ремонт нежилых помещений по ул.Некрасова,45, в т.ч. ПИР</t>
  </si>
  <si>
    <t>Приобретение оборудования для пищеблоков</t>
  </si>
  <si>
    <t>Капитальный ремонт помещений пищеблока, ПСД</t>
  </si>
  <si>
    <t>Капитальный ремонт системы отопления ВУВК и ЕОШ</t>
  </si>
  <si>
    <t>Капитальный ремонт ДУЗ</t>
  </si>
  <si>
    <t>выполнгение работ по техническому обследованию  ДУЗ №20</t>
  </si>
  <si>
    <t>Капитальный ремонт нежилых помещений по ул.Некрасова,45, в т.ч. ПИР(погашение задолженности за 2013 год)</t>
  </si>
  <si>
    <t>Установка кондиционеров в читальном зале центральной библиотеки</t>
  </si>
  <si>
    <t>Приобретение звукового и светового оборудования</t>
  </si>
  <si>
    <t>Приобретение реквизита для центра досуга</t>
  </si>
  <si>
    <t>Приобретение оборудования, мебели и элементов декора для оформления музея Крымской войны (погашение задолженности за 2013 год)</t>
  </si>
  <si>
    <t>21</t>
  </si>
  <si>
    <t xml:space="preserve">Капитальный ремонт кровли </t>
  </si>
  <si>
    <t>Замена отопительного котла</t>
  </si>
  <si>
    <t>Замена окон</t>
  </si>
  <si>
    <t>13</t>
  </si>
  <si>
    <t>Приобретение спортинвентаря</t>
  </si>
  <si>
    <t>Приобретение спортоборудования-спец тренажеров для занятий лиц с ограниченными физическими возможностями</t>
  </si>
  <si>
    <t>Капитальный ремонт кровли КП ДС</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</si>
  <si>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Республики Крым)</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</si>
  <si>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топлива и сжиженного газа</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</si>
  <si>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Государственного бюджета Украины)</t>
  </si>
  <si>
    <t>Больницы</t>
  </si>
  <si>
    <t>Центры первичной медицинской (медико-санитарной) помощи</t>
  </si>
  <si>
    <t xml:space="preserve">от 24.01.2014 № 6-55/9 </t>
  </si>
  <si>
    <t>(рубль)</t>
  </si>
  <si>
    <t>оплата труда</t>
  </si>
  <si>
    <t>010000</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</si>
  <si>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</si>
  <si>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бюджета Республики Крым)</t>
  </si>
  <si>
    <t>Управление по оборонно-мобилизационной работе, взаимодействию с правоохранительными и контролирующими органами и гражданской защите населения Евпаторийского городского совета</t>
  </si>
  <si>
    <t>Помощь по уходу за ребенком до достижения им  3-х лет (субвенция из Государственного бюджета Украины)</t>
  </si>
  <si>
    <t xml:space="preserve">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t>
  </si>
  <si>
    <t>Помощь на захоронение участников боевых действий и инвалидов войны (субвенция из бюджета Республики Крым)</t>
  </si>
  <si>
    <t>Мероприятия по оздоровлению и отдыху детей, кроме мероприятий по оздоровлению детей, которые осуществляются за счет средств на оздоровление граждан, которые пострадали вследствие Чернобыльской катастрофы</t>
  </si>
  <si>
    <t xml:space="preserve">Компенсационные выплаты на льготный проезд автомобильным транспортом отдельным категориям граждан </t>
  </si>
  <si>
    <t xml:space="preserve">Компенсационные выплаты за льготный проезд отдельных категорий граждан на железнодорожном транспорте </t>
  </si>
  <si>
    <t>090210</t>
  </si>
  <si>
    <t xml:space="preserve">Льготы  многодетным семьям на жилищно-коммунальные услуги </t>
  </si>
  <si>
    <t>090215</t>
  </si>
  <si>
    <t>090405</t>
  </si>
  <si>
    <t>090203</t>
  </si>
  <si>
    <t>090209</t>
  </si>
  <si>
    <t>Льготы отдельным категориям граждан на услуги связи</t>
  </si>
  <si>
    <t>090214</t>
  </si>
  <si>
    <t>Наименование</t>
  </si>
  <si>
    <t>Субвенция на увеличение финансовых нормативов для оказания социальных услуг получателям, проживающим в границах территориальной громады Новоозерновского поселкового совета, на оказание услуг первичной медицинской помощи врачебной амбулаторией</t>
  </si>
  <si>
    <t xml:space="preserve">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t>
  </si>
  <si>
    <t>41035600 Субвенция на проведение расходов местных бюджетов, которые не учитываются при определении объема межбюджетных трансфертов</t>
  </si>
  <si>
    <t>41034800Субвенция из государственного бюджета местным бюджетам на частичное возмещение стоимости лекарственных препаратов для лечения лиц с гипертонической болезнью</t>
  </si>
  <si>
    <t>Субвенция  из государственного бюджета местным бюджетам на обеспечение питания (завтраками) учеников 5-11 классов общеобразовательных учебных заведение</t>
  </si>
  <si>
    <t>41037000 Субвенция  из бюджета Республики Крым на проведение выборов депутатов представительных органов муниципальных образований в Республике Крым</t>
  </si>
  <si>
    <t xml:space="preserve">41020900 Субвенция на модернизацию региональных систем дошкольного образования в рамках подпрограммы "Развитие дошкольного, общего и дополнительного детей" государственной программы Российской Федерации "Развитие образования" на 2013-2020 годыобразования в рамках подпрограммы "Развитие </t>
  </si>
  <si>
    <t>41030300  Иные межбюджетные трансферты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</si>
  <si>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41034400Субвенция из государственного бюджета местным бюджетам  на строительство, реконструкцию, ремонт и содержание улиц и дорог коммунальной собственности в населённых пунктах</t>
  </si>
  <si>
    <t xml:space="preserve">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t>
  </si>
  <si>
    <t xml:space="preserve">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 криминально-исполнительной системы </t>
  </si>
  <si>
    <t xml:space="preserve">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t>
  </si>
  <si>
    <t>Льготы  многодетным семьям на приобретение твердого топлива и сжиженного газа</t>
  </si>
  <si>
    <t xml:space="preserve"> Субсидии населению для возмещение затрат на приобретение твердого топлива и сжиженного газа </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</si>
  <si>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t>
  </si>
  <si>
    <t>Частичное возмещение стоимости лекарственных препаратов для лечения лиц с гипертонической болезнью</t>
  </si>
  <si>
    <t>в т.ч. льготы инвалидам 1 группы и неработающим (нетрудоспособным) инвалидам 2 группы (независимо от причин инвалидности ), инвалидам с нарушением органов слуха и по зрению (независимо от группы), детям-инвалидам до 18 лет, не находящимся на полном государственном обеспечении, с учетом одного из членов семьи, осуществляющего уход за ребенком-инвалидом, с 25-процентной скидкой на приобретение твердого и жидкого печного бытового  топлива и сжиженного газа</t>
  </si>
  <si>
    <t>в т.ч на выплату материальной помощи на приобретение твердого топлива (субвенция из бюджета АРК)</t>
  </si>
  <si>
    <t>Содержание центров социальных служб для семьи, детей и молодежи</t>
  </si>
  <si>
    <t>Другие мероприятия, связанные с экономической деятельностью</t>
  </si>
  <si>
    <t>Субвенция местным бюджетам  на предоставление льгот и жилищных субсидий населению на оплату электроэнергии, природного газа, услуг тепло-, водоснабжения и водоотведения, квартирной платы (содержание домов и сооружений и придомовых территорий), вывоза бытового мусора и жидких нечистот</t>
  </si>
  <si>
    <t>Субвенция местным бюджетам на предоставление льгот по услугам связи,  других предусмотренных законодательством льгот (кроме  льгот  на получение лекарств,   зубопротезирование,   оплату   электроэнергии, природного и сжиженного газа на  бытовые  нужды,  твердого  и жидкого печного бытового топлива, услуг тепло-, водоснабжения и водоотведения,  квартирной платы (содержание домов и сооружений  и придомовых  территорий),  вывоза  бытового мусора и жидких нечистот),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топлива и на компенсацию за льготный проезд отдельных категорий граждан</t>
  </si>
  <si>
    <t>Субвенция местным бюджетам на предоставление льгот и жилищных субсидий населению на приобретение твердого и жидкого  печного бытового топлива и сжиженного газа</t>
  </si>
  <si>
    <t>Субвенция местным бюджетам на обеспечение питанием (завтраками) учеников 5-11 классов общеобразовательных учебных заведений</t>
  </si>
  <si>
    <t>Субвенция местным бюджетам  на строительство, реконструкцию, ремонт и содержание улиц и дорог коммунальной собственности в населённых пунктах</t>
  </si>
  <si>
    <t>Субвенция местным бюджетам на частичную компенсацию стоимости лекарственных препаратов для лечения лиц с гипертонической болезнью</t>
  </si>
  <si>
    <t>Прочие субвенции, в том числе:</t>
  </si>
  <si>
    <t xml:space="preserve"> -  из поселковых бюджетов </t>
  </si>
  <si>
    <t>Субвенция на увеличение финансовых нормативов для оказания социальных услуг получателям, проживающим в границах территориальной громады Заозерненского поселкового совета, на оказание услуг первичной медицинской помощи врачебной амбулаторией</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</si>
  <si>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бюджета Республики Крым)</t>
  </si>
  <si>
    <t>Субвенция из государственного бюджета местным бюджетам на частичное возмещение стоимости лекарственных препаратов для лечения лиц с гипертонической болезнью</t>
  </si>
  <si>
    <t>Субвенция на обеспечение питанием (завтраками) учеников 5-11 классов общеобразоватиельных учебных заведений</t>
  </si>
  <si>
    <t>Итого из Государственного бюджета Украины</t>
  </si>
  <si>
    <r>
      <t>Распределение</t>
    </r>
    <r>
      <rPr>
        <sz val="28"/>
        <rFont val="Times New Roman"/>
        <family val="1"/>
      </rPr>
      <t xml:space="preserve"> </t>
    </r>
    <r>
      <rPr>
        <b/>
        <sz val="28"/>
        <rFont val="Times New Roman"/>
        <family val="1"/>
      </rPr>
      <t>субвенций из  бюджета  Республики Крым на 2014 год</t>
    </r>
  </si>
  <si>
    <t>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бюджета РК)</t>
  </si>
  <si>
    <t>Субсидии населению для возмещения затрат  на оплату жилищно-коммунальных услуг (субвенция из  бюджета АРК)</t>
  </si>
  <si>
    <t>Прочие 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бюджета РК)</t>
  </si>
  <si>
    <t>Льготы на медицинское обслуживание гражданам, которые пострадали вследствие Чернобыльской катастрофы</t>
  </si>
  <si>
    <t>О90212</t>
  </si>
  <si>
    <t>Другие расходы на  социальную защиту населения</t>
  </si>
  <si>
    <t>О90412</t>
  </si>
  <si>
    <t>в т.ч.на  прочие расходы на социальную защиту населения ( мероприятия по социальной поддержке малообеспеченных граждан, инвалидов и других категорий граждан)</t>
  </si>
  <si>
    <t>Главное управление инвестиционной политики и внешнеэкономических связей Евпаторийского городского совета</t>
  </si>
  <si>
    <t>руб</t>
  </si>
  <si>
    <t>Расходы на проведение работ, связанных со строительством, реконструкцией, ремонтом и содержанием автомобильных дорог (  кредиторская задолженность по субвенции)</t>
  </si>
  <si>
    <t>Расходы на проведение работ, связанных со строительством, реконструкцией, ремонтом и содержанием автомобильных дорог (  остаток на 01.01.2014г. по субвенции )</t>
  </si>
  <si>
    <t>в т.ч субвенция из Государственного бюджета Украины</t>
  </si>
  <si>
    <t>в т.ч. Субвенция из бюджета Автономной Республики Крым</t>
  </si>
  <si>
    <t>090205</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</si>
  <si>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t>
  </si>
  <si>
    <t>090208</t>
  </si>
  <si>
    <t>090216</t>
  </si>
  <si>
    <t>090406</t>
  </si>
  <si>
    <t>Капитальные вложения ( Субвенция из бюджета Республики Крым)</t>
  </si>
  <si>
    <t>Субвенция из государственного бюджета на строительстьво, реконструкцию, ремонт и содержание улиц и дорог коммунальной собственности в нгаселенных пунктах</t>
  </si>
  <si>
    <t>Приложение 2</t>
  </si>
  <si>
    <t xml:space="preserve">от 24.01.2014г. №    6-55/9            </t>
  </si>
  <si>
    <t>Льготы, которые предоставляются населению (кроме ветеранов войны и труда, войсковой службы, органов внутренних дел и граждан, которые пострадали вследствие Чернобыльской катастрофы), на оплату жилищно-коммунальных услуг и природного газа</t>
  </si>
  <si>
    <t>Другие мероприятия по охране здоровья</t>
  </si>
  <si>
    <t>Группы централизованного хозяйственного обслуживания</t>
  </si>
  <si>
    <t>в т ч.в рамках Программы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</si>
  <si>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Обеспечение централизованных мероприятий по лечению больных сахарным и несахарным диабетом</t>
  </si>
  <si>
    <t xml:space="preserve">Расходы на предупреждение и ликвидацию чрезвычайных ситуаций и последствий стихийного бедствия </t>
  </si>
  <si>
    <t>Приложение 3</t>
  </si>
  <si>
    <t xml:space="preserve">коммунальные услуги и энергоносители </t>
  </si>
  <si>
    <t>потребления</t>
  </si>
  <si>
    <t>развития</t>
  </si>
  <si>
    <t>бюджет развития</t>
  </si>
  <si>
    <t xml:space="preserve">из них </t>
  </si>
  <si>
    <t>Прочие дополнительные дотации</t>
  </si>
  <si>
    <t>Субсидии населению для возмещения затрат  на оплату жилищно-коммунальных услуг (субвенция из Государственного бюджета Украины)</t>
  </si>
  <si>
    <t xml:space="preserve">мероприятия по реализации программы привлечения инвестиций в экономику города </t>
  </si>
  <si>
    <t xml:space="preserve">в т.ч. мероприятия, связанные с проведением процесса приватизации </t>
  </si>
  <si>
    <t>Театры</t>
  </si>
  <si>
    <t>Библиотеки</t>
  </si>
  <si>
    <t>Музеи и выставки</t>
  </si>
  <si>
    <t>Расходы на проведение работ, связанных со строительством, реконструкцией, ремонтом и содержанием автомобильных дорог ( субвенция из Государственного бюджета )</t>
  </si>
  <si>
    <t>Департамент по развитию территории Евпаторийского городского совета</t>
  </si>
  <si>
    <t>03</t>
  </si>
  <si>
    <t>Расходы специального фонда</t>
  </si>
  <si>
    <t>из них</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</si>
  <si>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АРК)</t>
  </si>
  <si>
    <t>в рамках Программы содействия развитию гражданского общества в городе Евпатории на 2014-2017 годы</t>
  </si>
  <si>
    <t xml:space="preserve">Расходы на проведение работ, связанных со строительством, реконструкцией, ремонтом и содержанием автомобильных дорог </t>
  </si>
  <si>
    <t>Распределение расходов городского бюджета на 2014 год по главным распорядителям средств</t>
  </si>
  <si>
    <t>в т.ч. выплата государственной социальной помощи на детей-сирот и детей, лишенных родительского попечения,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(субвенция из Государственного бюджета Украины)</t>
  </si>
  <si>
    <t xml:space="preserve">Детские дома (в том числе семейного типа, приемные семьи) </t>
  </si>
  <si>
    <t>Компенсационные выплаты на льготный проезд автомобильным транспортом отдельным категориям граждан (субвенция из Государственного бюджета Украины)</t>
  </si>
  <si>
    <t>Программа развития образования города Евпатории на 2013-2016 годы (решение городского совета от 27.07.2012г. №6-26/6)</t>
  </si>
  <si>
    <t>О70201</t>
  </si>
  <si>
    <t>Управление торговли и административных услуг Евпаторийского городского совета</t>
  </si>
  <si>
    <t>081010</t>
  </si>
  <si>
    <t>070303</t>
  </si>
  <si>
    <t>090212</t>
  </si>
  <si>
    <t>090302</t>
  </si>
  <si>
    <t>090303</t>
  </si>
  <si>
    <t>090304</t>
  </si>
  <si>
    <t>090305</t>
  </si>
  <si>
    <t>090306</t>
  </si>
  <si>
    <t>090307</t>
  </si>
  <si>
    <t>090308</t>
  </si>
  <si>
    <t>090401</t>
  </si>
  <si>
    <t>090412</t>
  </si>
  <si>
    <t>090413</t>
  </si>
  <si>
    <t>Субсидии населению для возмещения затрат на приобретение твердого и жидкого печного бытового топлива топлива и сжиженного газа (субвенция из Государственного бюджета Украины)</t>
  </si>
  <si>
    <t>Управление по физической культуре и спорту Евпаторийского городского совета</t>
  </si>
  <si>
    <t>Другие мероприятия, связанные с экономической деятельностью (молодежные трудовые отряды)</t>
  </si>
  <si>
    <t>Дворцы и дома культуры, клубы и другие учреждения клубного типа</t>
  </si>
  <si>
    <t>090417</t>
  </si>
  <si>
    <t>091204</t>
  </si>
  <si>
    <t>091205</t>
  </si>
  <si>
    <t>091209</t>
  </si>
  <si>
    <t>091300</t>
  </si>
  <si>
    <t>091303</t>
  </si>
  <si>
    <t>091304</t>
  </si>
  <si>
    <t>110000</t>
  </si>
  <si>
    <t>110502</t>
  </si>
  <si>
    <t>170102</t>
  </si>
  <si>
    <t>Государственная социальная помощь инвалидам с детства и детям-инвалидам (субвенция из Государственного бюджета Украины)</t>
  </si>
  <si>
    <t>Субвенция из  бюджета Автономной Республики Крым местным бюджетам на частичное возмещение стоимости лекарственных препаратов для лечения лиц с гипертонической болезнью</t>
  </si>
  <si>
    <t>Поддержка малого и среднего предпринимательства</t>
  </si>
  <si>
    <t>Родильные дома</t>
  </si>
  <si>
    <t>Комплексная Программа развития культуры и искусств в городе Евпатории на 2012-2015 годы ( решение городского совета от 25.11.2011г. №6-16/8)</t>
  </si>
  <si>
    <t>Служба по делам детей Евпаторийского городского совета</t>
  </si>
  <si>
    <t>Управление городского хозяйства Евпаторийского гродского совета</t>
  </si>
  <si>
    <t>Программа развития  и реформирования жилищно-коммунального хозяйства г.Евпатория на 2011-2015 годы (решение городского совета от 26.11.2010г. №6-2/4)</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</si>
  <si>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гражлан, смерть которых связана с Чернобыльской катастрофой, на приобретение твердого топлива (субвенция из бюджета Республики Крым) </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</si>
  <si>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Государственного бюджета Украины)</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</si>
  <si>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(субвенция из бюджета Республики Крым)</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</si>
  <si>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 Государственной криминально-исполнительной службы, ветеранов службы гражданской защиты, ветеранов Государственной  службы специальной связи и защиты информации Украины,и государственной пожарной охраны, а также уволенным со службы по годам, болезни или выслугой лет работникам милиции, лицам начальствующего состава налоговой милиции, рядового и начальствующего состава криминально-исполнительной системы, государственной пожарной охраны, детям (до достижения полнолетия) работников милиции, лиц начальствующего состава налоговой милиции, рядового и начальствующего состава</t>
  </si>
  <si>
    <t xml:space="preserve"> в т.ч. на предоставление льгот отдельным категориям граждан на жилищно-коммунальные услуги (субвенция из бюджета Республики Крым)</t>
  </si>
  <si>
    <t>мероприятия в рамках Программы содействия развитию гражданского общества в городе Евпатории на 2014-2017 годы</t>
  </si>
  <si>
    <t>Помощь в связи с беременностью и родами (субвенция из Государственного бюджета Украины)</t>
  </si>
  <si>
    <t>Дошкольное образование</t>
  </si>
  <si>
    <t>в т.ч.на  прочие расходы на социальную защиту населения (мероприятия по социальной поддержке малообеспеченных граждан, инвалидов и других категорий граждан)  (субвенция из бюджета Республики Крым)</t>
  </si>
  <si>
    <t>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(субвенция из бюджета Республики Крым)</t>
  </si>
  <si>
    <t>в т.ч на выплату материальной помощи на приобретение твердого топлива (субвенция из бюджета Республики Крым)</t>
  </si>
  <si>
    <t>Помощь по уходу за инвалидом 1 и 2 группы вследствие психического расстройства (субвенция из бюджета Республики Крым)</t>
  </si>
  <si>
    <t>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(субвенция из бюджета Республики Крым)</t>
  </si>
  <si>
    <t>Программы и централизованные мероприятия борьбы с туберкулезом</t>
  </si>
  <si>
    <t>Программы и централизованные мероприятия профилактики СПИДа</t>
  </si>
  <si>
    <t>Централизованные мероприятия по лечению онкологических больных</t>
  </si>
  <si>
    <t>Охрана и рациональное использование природных ресурсов</t>
  </si>
  <si>
    <t xml:space="preserve">Финансовая поддержка спортивных сооружений </t>
  </si>
  <si>
    <t>Код типової відомчої класифікації видатків</t>
  </si>
  <si>
    <t>13=3+6</t>
  </si>
  <si>
    <t>010116</t>
  </si>
  <si>
    <t>180410</t>
  </si>
  <si>
    <t>240900</t>
  </si>
  <si>
    <t>250404</t>
  </si>
  <si>
    <t>070000</t>
  </si>
  <si>
    <t>070101</t>
  </si>
  <si>
    <t>070401</t>
  </si>
  <si>
    <t>070802</t>
  </si>
  <si>
    <t>070804</t>
  </si>
  <si>
    <t>070805</t>
  </si>
  <si>
    <t>070808</t>
  </si>
  <si>
    <t>091108</t>
  </si>
  <si>
    <t>130107</t>
  </si>
  <si>
    <t>210107</t>
  </si>
  <si>
    <t>240601</t>
  </si>
  <si>
    <t>091101</t>
  </si>
  <si>
    <t>091103</t>
  </si>
  <si>
    <t>091105</t>
  </si>
  <si>
    <t>091106</t>
  </si>
  <si>
    <t>130102</t>
  </si>
  <si>
    <t>130110</t>
  </si>
  <si>
    <t>080000</t>
  </si>
  <si>
    <t>080101</t>
  </si>
  <si>
    <t>080102</t>
  </si>
  <si>
    <t>080203</t>
  </si>
  <si>
    <t>080500</t>
  </si>
  <si>
    <t>080704</t>
  </si>
  <si>
    <t>081002</t>
  </si>
  <si>
    <t>081003</t>
  </si>
  <si>
    <t>081007</t>
  </si>
  <si>
    <t>081008</t>
  </si>
  <si>
    <t>081009</t>
  </si>
  <si>
    <t>Капитальный ремонт лифтов (в т.ч. экспертиза) по ул. Интернациональная,146  подъезд (2) в г.Евпатория(субвенция из бюджета Республики Крым)</t>
  </si>
  <si>
    <t>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ветерановГосударственной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t>
  </si>
  <si>
    <t>рядового и начальственного состава 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(субвенция из Государственного бюджета Украины)</t>
  </si>
  <si>
    <t>Прочие расходы (Субвенция из бюджета Республики Крым)</t>
  </si>
  <si>
    <t>Программа обеспечения мероприятий, по подготовке граждан Украины проживающих в г.Евпатории к военной службе, службе в запасе и совершенствованию мобилизационной подготовки города Евпатория в 2010-2015 годы (решение городского совета от 25.11.2011г. №6-16/11)</t>
  </si>
  <si>
    <t>Программа охраны и улучшения состояния окружающей природной среды на территории г.Евпатории на 2010-2015гг (решение городского совета от 30.10.2009г. №5-51/9)</t>
  </si>
  <si>
    <t>Управление  здравоохранения Евпаторийского городского совета</t>
  </si>
  <si>
    <t>О80101</t>
  </si>
  <si>
    <t>О80102</t>
  </si>
  <si>
    <t>О80203</t>
  </si>
  <si>
    <t>О81007</t>
  </si>
  <si>
    <t>О81010</t>
  </si>
  <si>
    <t>О81008</t>
  </si>
  <si>
    <t>О81009</t>
  </si>
  <si>
    <t>О81002</t>
  </si>
  <si>
    <t>О80500</t>
  </si>
  <si>
    <t>О81003</t>
  </si>
  <si>
    <t>О80800</t>
  </si>
  <si>
    <t>Городская программа "Информатизация здравоохранения города Евпатории на 2012-2015 годы" (решение городского совета от 25.11.2011года №6-16/27)</t>
  </si>
  <si>
    <t>Комплексная  программа социальной поддержки инвалидов и других социально незащищенных категорий граждан г.Евпатория "Забота" на 2012-2015 годы (решение городского совета от 26.08.2011г. №6-12/5)</t>
  </si>
  <si>
    <t>Реконструкция благоустройства у собора св.Николая Чудотворца и мечети Джума-Джами с прилегающим пер.Летным (в том числе ПИР) (погашение задолженности за 2013 год)</t>
  </si>
  <si>
    <t>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(погашение задолженности за 2013 год)</t>
  </si>
  <si>
    <t>Капитальный ремонт сетей электроснабжения по переулку Летный в г Евпатория (погашение задолженности за 2013 год)</t>
  </si>
  <si>
    <t xml:space="preserve">Капитальный ремонт сетей электроснабжения по переулку Летный в г Евпатория </t>
  </si>
  <si>
    <t>Капитальный ремонт нежилых помещений по ул.Революции, 61/4/8 в г.Евпатория, в т.ч. ПИР</t>
  </si>
  <si>
    <t>Капитальный ремонт инфекционного корпуса детской городской больницы КУ ДТМО по ул.Дм.Ульянова в г.Евпатория (2 очередь) (погашение задолженности за 2013 год)</t>
  </si>
  <si>
    <t>Капитальный ремонт инфекционного корпуса детской городской больницы КУ ДТМО  в г.Евпатории (субвенция из бюджета Республики Крым)</t>
  </si>
  <si>
    <t>Реконсрукция инфекционного корпуса детской городлской больницы КУ ДТМО  по ул.Дм.Ульяновав г.Евпатория (1 очередь)</t>
  </si>
  <si>
    <t>Проектно-изыскательские работы (погашение задолженности за 2013 год)</t>
  </si>
  <si>
    <t>Строительство детского дошкольного учреждения в мкр.Исмаил-бей (в т.ч. ПИР) (погашение задолженности за 2013 год)</t>
  </si>
  <si>
    <t>Строительство и благоустройство универсальных спортивных площадок, приобретение оборудования и инвентаря (софинансирование по программе победителей Всеукраинского кункурса проектов и программ развития местного самоуправления "Развитие спортивной инфраструктуры и экологического благополучия-залог здорового образа жизни и развитие нации")</t>
  </si>
  <si>
    <t>Капитальный ремонт жилого фонда</t>
  </si>
  <si>
    <t xml:space="preserve">Приобретение оборудования детских,  спортивных площадок </t>
  </si>
  <si>
    <t>Капитальный ремонт сетей наружного освещения</t>
  </si>
  <si>
    <t>Капитальный ремонт благоустройства территории на пересечении  улиц Революции, Эскадронной, Симферопольской</t>
  </si>
  <si>
    <t>Капитальный ремонт внутреннего проезда на территории парка им.Фрунзе с установкой технических средств регулирования дорожного движения</t>
  </si>
  <si>
    <t>Приобретение теплообменника</t>
  </si>
  <si>
    <t>Установка приборов технологического учета тепловой энергии (в т.ч.ПИР,  экспертиза)</t>
  </si>
  <si>
    <t>Капитальный ремонт улично-дорожной сети</t>
  </si>
  <si>
    <t>Капитальный ремонт светофорных объектов</t>
  </si>
  <si>
    <t>Капитальный ремонт памятника Т.Г.Шевченко и прилегающей территории на ул.Шевченко в г.Евпатория</t>
  </si>
  <si>
    <t>Капитальный ремонт помещений КП "Трамвайное управление им.Пятецкого"для организации "Музея городского трамвая"</t>
  </si>
  <si>
    <t>Капитальный ремонт аварийных конструктивных элементов жилых домов (в т.ч.ПИР, экспертиза)</t>
  </si>
  <si>
    <t>Приобретение спецтехники и оборудования</t>
  </si>
  <si>
    <t>Капитальный ремонт жилого фонда (погашение задолженности за 2013 год)</t>
  </si>
  <si>
    <t>Капитальный ремонт сетей наружного освещения (погашение задолженности за 2013 год)</t>
  </si>
  <si>
    <t xml:space="preserve">Приобретение контейнеров </t>
  </si>
  <si>
    <t>Капитальный ремонт контейнерных площадок</t>
  </si>
  <si>
    <t>Обустройство остановок общественного транспорта</t>
  </si>
  <si>
    <t>Приобретение  и установка туалетов(погашение задолженности за 2013 год)</t>
  </si>
  <si>
    <t>Капитальный ремонт улично-дорожной сети (погашение задолженности за 2013 год)</t>
  </si>
  <si>
    <t>Приобретение принтера формата А3 с дуплексом (погашение задолженности за 2013 год)</t>
  </si>
  <si>
    <t>Капитальный ремонт придомовой территории по ул.Эскадронная,9 (погашение задолженности за 2013 год)</t>
  </si>
  <si>
    <t>Капитальный ремонт (обустройство велосипедной дороги от ул.Полупанова по Набережной до оз.Мойнаки)</t>
  </si>
  <si>
    <t>Капитальный ремонт кровли жилого жома  (в т.ч.ПИР, экспертиза) по ул.Л.Украинки, 14в г.Евпатория (субвенция из бюджета Республики Крым)</t>
  </si>
  <si>
    <t>Капитальный ремонт кровли жилого дома (в т.ч. ПИР, экспертиза) по ул.9 Мая,75 в г.Евпатория(субвенция из бюджета Республики Крым)</t>
  </si>
  <si>
    <t>Капитальный ремонт кровли жилого дома (в т.ч.ПИР, экспертиза) по ул.Интернационавльная, 135 в г.Евпатория(субвенция из бюджета Республики Крым)</t>
  </si>
  <si>
    <t>Капитальный ремонт кровли жилого дома (в т.ч.ПИР, экспертиза) по ул.60 лет Октября, 20а  в г.Евпатория(субвенция из бюджета Республики Крым)</t>
  </si>
  <si>
    <t>Капитальный ремонт лифтов (в т.ч. экспертиза) по ул. Чапаева, 83, подъезды 1,2 в г.Евпатория(субвенция из бюджета Республики Крым)</t>
  </si>
  <si>
    <t xml:space="preserve">Целевые фонды </t>
  </si>
  <si>
    <t>Социальные программы и мероприятия государственных органов по делам молодежи</t>
  </si>
  <si>
    <t>Детские дома (в том числе семейного типа, приемные семьи)</t>
  </si>
  <si>
    <t>Субвенция из государственного бюджета на строительстьво, реконструкцию, ремонт и содержание улиц и дорог коммунальной собственности в населенных пунктах.</t>
  </si>
  <si>
    <t>Государственная социальная помощь малообеспеченным семьям (субвенция из бюджета Республики Крым)</t>
  </si>
  <si>
    <t>Субсидии населению для возмещения затрат  на оплату жилищно-коммунальных услуг (субвенция из бюджета Республики Крым)</t>
  </si>
  <si>
    <t>Субсидии населению для возмещения затрат на приобретение твердого и жидкого печного бытового топлива топлива и сжиженного газа (субвенция из бюджета Республики Крым)</t>
  </si>
  <si>
    <t>090414</t>
  </si>
  <si>
    <t>080800</t>
  </si>
  <si>
    <t>250360</t>
  </si>
  <si>
    <t>170703</t>
  </si>
  <si>
    <t>070201</t>
  </si>
  <si>
    <t>250354</t>
  </si>
  <si>
    <t>170302</t>
  </si>
  <si>
    <t>170602</t>
  </si>
  <si>
    <t>110204</t>
  </si>
  <si>
    <t>110102</t>
  </si>
  <si>
    <t>110201</t>
  </si>
  <si>
    <t>110202</t>
  </si>
  <si>
    <t>110205</t>
  </si>
  <si>
    <t>180404</t>
  </si>
  <si>
    <t>210105</t>
  </si>
  <si>
    <t>100203</t>
  </si>
  <si>
    <t>Благоустрій міст, сіл, селищ</t>
  </si>
  <si>
    <t>160101</t>
  </si>
  <si>
    <t>200200</t>
  </si>
  <si>
    <t>250500</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</si>
  <si>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</si>
  <si>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090000</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</si>
  <si>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t>
  </si>
  <si>
    <t>Расходы на проведение работ, связанных со строительством, реконструкцией, ремонтом и содержанием автомобильных дорог ( субвенция из бюджета  Республики Крым )</t>
  </si>
  <si>
    <t>090204</t>
  </si>
  <si>
    <t>Помощь в связи с беременностью и родами</t>
  </si>
  <si>
    <t>Помощь по уходу за ребенком до достижения им  3-х лет</t>
  </si>
  <si>
    <t>Государственная социальная помощь малообеспеченным семьям</t>
  </si>
  <si>
    <t>090201</t>
  </si>
  <si>
    <t>Службы технического надзора по строительству и капитальному ремонту, централизованные бухгалтерии, группы централизованного хозяйственного обслуживания</t>
  </si>
  <si>
    <t>в т.ч.мероприятия по программе поддержки и развития малого предпринимательства</t>
  </si>
  <si>
    <t>Мероприятия  и работы  по  мобилизационной подготовке местного значения</t>
  </si>
  <si>
    <t>Помощь на детей над которыми установлена  опека или  попечительство (субвенция из Государственного бюджета Украины)</t>
  </si>
  <si>
    <t>Помощь на детей одиноким матерям (субвенция из Государственного бюджета Украины)</t>
  </si>
  <si>
    <t xml:space="preserve">Другие мероприятия, связанные с экономической деятельностью </t>
  </si>
  <si>
    <t>Общеобразовательные школы (в том числе школа-детский сад, интернат при школе), специализированные школы, лицеи, гимназии, коллегиумы</t>
  </si>
  <si>
    <t>150202</t>
  </si>
  <si>
    <t>150101</t>
  </si>
  <si>
    <t>Территориальные медицинские объединения</t>
  </si>
  <si>
    <t>Помощь при рождении ребенка (субвенция из Государственного бюджета Украины)</t>
  </si>
  <si>
    <t>в т.ч.субвенция из Государственного бюджета Украины</t>
  </si>
  <si>
    <t>в т.ч. из  бюджета  Республики Крым</t>
  </si>
  <si>
    <t xml:space="preserve">Программа  развития малого и среднего предпринимательства в г.Евпатория на 2013-2015 годы (решение городского совета от 28.12.2012г. №6-36/4) </t>
  </si>
  <si>
    <t>Льготы многодетным семьям на приобретение твердого топлива и сжиженного газа</t>
  </si>
  <si>
    <t>Помощь при рождении ребенка</t>
  </si>
  <si>
    <t xml:space="preserve">Помощь на детей над которыми установлена  опека или  попечительство </t>
  </si>
  <si>
    <t xml:space="preserve">Помощь на детей одиноким матерям </t>
  </si>
  <si>
    <t>Временная государственная помощь детям</t>
  </si>
  <si>
    <t>Субсидии населению для возмещения затрат  на оплату жилищно-коммунальных услуг</t>
  </si>
  <si>
    <t>090202</t>
  </si>
  <si>
    <t>Управление межнациональных отношений Евпаторийского городского совета</t>
  </si>
  <si>
    <t>Капитальные вложения</t>
  </si>
  <si>
    <t>Финансовая поддержка общественных организаций инвалидов и ветеранов</t>
  </si>
  <si>
    <t>Центры здоровья и мероприятия в сфере санитарного образования</t>
  </si>
  <si>
    <t>Расходы городского бюджета на 2014 год по временной классификации расходов и кредитования местных бюджетов</t>
  </si>
  <si>
    <t>мероприятия по реализации комплексной программы гражданской защиты населения в г.Евпатории</t>
  </si>
  <si>
    <t xml:space="preserve">мероприятия, связанные с проведением процесса приватизации </t>
  </si>
  <si>
    <t>в редакции решения городского совета</t>
  </si>
  <si>
    <t xml:space="preserve">       на предоставление льгот отдельным категориям граждан на жилищно-коммунальные услуги и твердое топливо </t>
  </si>
  <si>
    <t xml:space="preserve">        на  выплату единовременного вознаграждения участникам обороны и освобождения Крыма от немецко-фашистских захватчиков, а также на выплату адресной материальной помощи партизанам и подпольщикам ко Дню партизанской славы</t>
  </si>
  <si>
    <t xml:space="preserve">     на социальную помощь женщинам, удостоенным почетного звания Украины "Мать-героиня", проживающим в Республике Крым на жилищно-коммунальные услуги </t>
  </si>
  <si>
    <t xml:space="preserve">   на обеспечение государственных гарантий бесплатного оказания гражданам медицинской помощи</t>
  </si>
  <si>
    <t xml:space="preserve">   на финансирование программ-победителей одиннадцатого Всекрымского конкурса проектов и программ развития местного самоуправления</t>
  </si>
  <si>
    <t xml:space="preserve">   на реализацию мероприятий Государственной программы Республики Крым «Модернизация финансовой системы Республики Крым на 2014 год»</t>
  </si>
  <si>
    <t>Обеспечение надлежащих условий для воспитания и развития детей-сирот и детей, лишённых родительской опеки, в детских домах семейного типа и приёмных семьях</t>
  </si>
  <si>
    <t>О70303</t>
  </si>
  <si>
    <t>О90302</t>
  </si>
  <si>
    <t>О90303</t>
  </si>
  <si>
    <t>Помощь при роджении ребенка</t>
  </si>
  <si>
    <t>О90304</t>
  </si>
  <si>
    <t>Помощь на детей над которыми установлена  опека или  попечительство</t>
  </si>
  <si>
    <t>О90305</t>
  </si>
  <si>
    <t>Помощь на детей одиноким матерям</t>
  </si>
  <si>
    <t>О90306</t>
  </si>
  <si>
    <t>Временная государственная помощь  детям</t>
  </si>
  <si>
    <t>О90307</t>
  </si>
  <si>
    <t>Помощь при усыновлении ребенка</t>
  </si>
  <si>
    <t>О90308</t>
  </si>
  <si>
    <t>О90401</t>
  </si>
  <si>
    <t>Государственная социальная помощь  инвалидам с детства и детям -инвалидам</t>
  </si>
  <si>
    <t>О91300</t>
  </si>
  <si>
    <t>мероприятия по присуждению премии им.С.Э.Дувана, присвоению звания "Почетный гражданин города Евпатории"</t>
  </si>
  <si>
    <t xml:space="preserve">Управление образования Евпаторийского городского совета </t>
  </si>
  <si>
    <t>Управление здравоохранения Евпаторийского городского совета</t>
  </si>
  <si>
    <t xml:space="preserve">Управление труда и социальной защиты населения Евпаторийского городского совета </t>
  </si>
  <si>
    <t>Другие расходы на социальную защиту населения</t>
  </si>
  <si>
    <t xml:space="preserve">Отдел ведения Государственного реестра избирателей Евпаторийского городского совета </t>
  </si>
  <si>
    <t>Мероприятия в сфере защиты населения и территорий от чрезвычайных ситуаций техногенного и природного характера</t>
  </si>
  <si>
    <t>Прочии субвенции</t>
  </si>
  <si>
    <t>Дотации выравнивания, которые передаются из районных и городских (городов Киева и Севастополя, городов республиканского и областного значения) бюджетов</t>
  </si>
  <si>
    <t>Код временной классификации расходов и кредитования местных бюджетов</t>
  </si>
  <si>
    <t>Наименование кода временной классификации расходов и кредитования местных бюджетов</t>
  </si>
  <si>
    <t>Государственное управление</t>
  </si>
  <si>
    <t>Прочие расходы</t>
  </si>
  <si>
    <t>Здравоохранение</t>
  </si>
  <si>
    <t>Благоустройство городов, сел, поселков</t>
  </si>
  <si>
    <t>Строительство</t>
  </si>
  <si>
    <t>Исполнительный комитет Евпаторийского городского совета</t>
  </si>
  <si>
    <t>Управление культуры Евпаторийского городского совета</t>
  </si>
  <si>
    <t xml:space="preserve">Территориальные центры социального обслуживания (предоставления социальных услуг) </t>
  </si>
  <si>
    <t>Субсидии из федерального бюджета бюджету Республики Крым на реализацию мероприятий , включенных в программу Республики Крым, разработанную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субсидия из бюджета Республики Крым)</t>
  </si>
  <si>
    <t>в т.ч.  на финансирование программ-победителей одиннадцатого Всекрымского конкурса проектов и программ развития местного самоуправленгия (субвенция из бюджета республики Крым)</t>
  </si>
  <si>
    <t>Субвенция на проведенгие расходов местных бюджетов, которые не учитываются при определении объема межбюджетных трансфертов( субвенция из бютджета Республики Крым бюджетам городов и районов на обеспечение государственных гарантий бесплатного оказания гражданам медицинской помощи)</t>
  </si>
  <si>
    <t xml:space="preserve"> субвенция из бюджета РК бюджетам городов и районов на финансирование программ-победителей одиннадцатого Всекрымского конкурса проектов и программ развития местного самоуправленгия</t>
  </si>
  <si>
    <t>Перинатальные центры, родильные дома</t>
  </si>
  <si>
    <t>Другие услуги, связанные с экономической деятельностью</t>
  </si>
  <si>
    <t xml:space="preserve">оплата труда </t>
  </si>
  <si>
    <t>Расходы на проведение работ, связанных со строительством, реконструкцией, ремонтом и содержанием автомобильных дорог (остаток на 01.01.2014г.по субвенции )</t>
  </si>
  <si>
    <t>180000</t>
  </si>
  <si>
    <t xml:space="preserve">в т.ч на выплату единовременного вознаграждения участникам обороны и освобождения Крыма от немецко-фашистских захватчиков , а так же на выплату  адресной материальной помощи партизанам и подпольщикам ко Дню партизанской славы </t>
  </si>
  <si>
    <t>в т.ч. на прочие расходы на социальную защиту населения (материальная помощь на приобретение твердого топлива)</t>
  </si>
  <si>
    <t>О90413</t>
  </si>
  <si>
    <t xml:space="preserve">Помощь на захоронение участников боевых действий  и инвалидов войны </t>
  </si>
  <si>
    <t>О90417</t>
  </si>
  <si>
    <t>Льготы, которые предоставляются населению (кроме ветеранов войны и труда, войсковой службы, органов внутренних дел и гражданам, которые пострадали вследствие Чернобыльской катастрофы) на оплату жилищно-коммунальных услуг и природного газа</t>
  </si>
  <si>
    <t>О91207</t>
  </si>
  <si>
    <t xml:space="preserve"> в т.ч. на предоставление льгот отдельным категориям граждан на жилищно-коммунальные услуги </t>
  </si>
  <si>
    <t>на социальную помощь женщинам, удостоенным почетного звания Украины "Мать-героиня", проживающим в  Республики Крым на жилищно-коммунальные услуги</t>
  </si>
  <si>
    <t xml:space="preserve">Компенсационные выплаты инвалидам на бензин, ремонт, техобслуживание автотранспорта и транспортное обслуживание </t>
  </si>
  <si>
    <t>О91303</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</si>
  <si>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бюджета Республики Крым)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</si>
  <si>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Государственного бюджета Украины)</t>
  </si>
  <si>
    <t>Субвенция на проведение расходов местных бюджетов, которые учитываются при определении объема межбюджетных трансфертов (субвенция поселковым советам на осуществление расходов, связанных с функционированием врачебных амбулаторий, расположенных в поселках)</t>
  </si>
  <si>
    <t xml:space="preserve">в т.ч. мероприятия по организации молодежных трудовых отрядов </t>
  </si>
  <si>
    <t>250359</t>
  </si>
  <si>
    <t xml:space="preserve">Предоставление иных межбюджетных трансфертов бюджету Республики Крым на модернизацию региональных систем дошкольного,общего и дополнительного образования детей" государственной программы Российской Федерации "Развитие образования " на 2013-2020 годы" </t>
  </si>
  <si>
    <t>Льготы пенсионерам из числа специалистов по защите растений, предусмотренные частью четвертой статьи 20 Закона Украины "О защите растений", гражданам, предусмотренные пунктом "и" части первой статьи 77 Основ законодательства об охране здоровья, частью четвертой статьи 29 Основ законодательства о культуре, частью второй статьи 30 Закона Украини "О библиотеках и библиотечном деле", абзацем первым части четвертой статьи 57 Закона Украины "Об образовании", на бесплатное пользование жильем, отоплением и освещением" (субвенция из бюджета Республики Крым)</t>
  </si>
  <si>
    <t>Льготы на медицинское обслуживание гражданам, которые пострадали вследствие Чернобыльской катастрофы (субвенция из бюджета Республики Крым)</t>
  </si>
  <si>
    <t>Льготы отдельным категориям граждан на услуги связи (субвенция из бюджета Республики Крым)</t>
  </si>
  <si>
    <t>Льготы  многодетным семьям на жилищно-коммунальные услуги (субвенция из бюджета Республики Крым)</t>
  </si>
  <si>
    <t>Льготы многодетным семьям на приобретение твердого топлива и сжиженного газа (субвенция из бюджета Республики Крым)</t>
  </si>
  <si>
    <t>Помощь в связи с беременностью и родами (субвенция из бюджета Республики Крым)</t>
  </si>
  <si>
    <t>Помощь по уходу за ребенком до достижения им  3-х лет (субвенция из бюджета Республики Крым)</t>
  </si>
  <si>
    <t>Помощь при рождении ребенка (субвенция из бюджета Республики Крым)</t>
  </si>
  <si>
    <t>Помощь на детей над которыми установлена опека или попечительство (субвенция из бюджета Республики Крым)</t>
  </si>
  <si>
    <t>Помощь на детей одиноким матерям (субвенция из бюджета Республики Крым)</t>
  </si>
  <si>
    <t>Временная государственная помощь детям (субвенция из бюджета Республики Крым)</t>
  </si>
  <si>
    <t>Установка телефонов инвалидам 1 и 2 групп (субвенция из бюджета Республики Крым)</t>
  </si>
  <si>
    <t>100000</t>
  </si>
  <si>
    <t>130000</t>
  </si>
  <si>
    <t>150000</t>
  </si>
  <si>
    <t>160000</t>
  </si>
  <si>
    <t>170000</t>
  </si>
  <si>
    <t>Компенсационные выплаты на льготный проезд автомобильным транспортом отдельным категориям граждан (субвенция из бюджета Республики Крым)</t>
  </si>
  <si>
    <t>Помощь при усыновлении ребенка (субвенция из бюджета Республики Крым)</t>
  </si>
  <si>
    <t>мероприятия по Программе освещения деятельности Евпаторийского городского совета, его исполнительных органов, финансовой поддержки (дотации) коммунальных предприятий средств массовой информации в 2012-2015гг</t>
  </si>
  <si>
    <t>200000</t>
  </si>
  <si>
    <t>Охрана окружающей природной среды и ядерная безопасность</t>
  </si>
  <si>
    <t>210000</t>
  </si>
  <si>
    <t>Предотвращение и ликвидация чрезвычайных ситуаций и последствий стихийного бедствия</t>
  </si>
  <si>
    <t>Мероприятия и работы по мобилизационной подготовке местного значения</t>
  </si>
  <si>
    <t>240000</t>
  </si>
  <si>
    <t>250000</t>
  </si>
  <si>
    <t>в т.ч. субвенция из бюджета Республики Крым</t>
  </si>
  <si>
    <t>Школы эстетического воспитания детей</t>
  </si>
  <si>
    <t>Другие культурно-образовательные учреждения и мероприятия</t>
  </si>
  <si>
    <t>ВК "Керкинитида"</t>
  </si>
  <si>
    <t>Всего</t>
  </si>
  <si>
    <t>ВСЕГО</t>
  </si>
  <si>
    <t>Органы местного самоуправления</t>
  </si>
  <si>
    <t>Социальная защита и социальное обеспечение</t>
  </si>
  <si>
    <t>Культура и искусство</t>
  </si>
  <si>
    <t>Образование</t>
  </si>
  <si>
    <t>Жилищно-коммунальное хозяйство</t>
  </si>
  <si>
    <t>Физическая культура и спорт</t>
  </si>
  <si>
    <t>Расходы, не отнесенные к основным группам</t>
  </si>
  <si>
    <t>Резервный фонд</t>
  </si>
  <si>
    <t>Всего расходов</t>
  </si>
  <si>
    <t>Итого расходов</t>
  </si>
  <si>
    <t xml:space="preserve">криминально-исполнительной системы, государственной пожарной охраны, погибших или умерших в связи с выполнением служебных обязанностей, неработоспособным членам семей, которые находились на их иждивении, уволеным с военной службы лицам, которые стали инвалидами во время прохождения военной службы,  родителям и членам семей военнослужащих, которые погибли (умерли) или пропали без вести во время прохождения военной службы, родителям и членам семей лиц рядового и начальственного состава органов и подразделов гражданской защиты, Государственной службы  специальной связи и защиты информации Украины, которые погибли (умерли), пропали безвести или стали инвалидами при прохождении службы, на жилищно-коммунальные услуги </t>
  </si>
  <si>
    <t>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t>
  </si>
  <si>
    <t>Льготы на медицинское обслуживание гражданам, которые пострадали вследствие Чернобыльской катастрофы (субвенция из бюджета РК)</t>
  </si>
  <si>
    <t>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t>
  </si>
  <si>
    <t>Прочие 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t>
  </si>
  <si>
    <t xml:space="preserve">Компенсация лицам, которые в соответствии со статьями 43 и 48 Горного закона Украины имеют право на бесплатное получение угля на бытовые нужды, но проживают в домах, имеющих центральное отопление </t>
  </si>
  <si>
    <t xml:space="preserve">Государственная социальная помощь  инвалидам с детства и детям-инвалидам </t>
  </si>
  <si>
    <t xml:space="preserve">Компенсационные выплаты на льготный проезд электротранспортом отдельным категориям граждан </t>
  </si>
  <si>
    <t>Дополнительная дотация из  бюджета Республики Крым на выравнивание финансовой обеспеченности местных бюджетов</t>
  </si>
  <si>
    <t>090207</t>
  </si>
  <si>
    <t xml:space="preserve">Субсидии населению для возмещения затрат на приобретение твердого и жидкого печного бытового топлива топлива и сжиженного газа </t>
  </si>
  <si>
    <t xml:space="preserve">Департамент по развитию территории Евпаторийского городского совета </t>
  </si>
  <si>
    <t xml:space="preserve">Помощь при усыновлении ребенка </t>
  </si>
  <si>
    <t>Помощь на захоронение участников боевых действий  и инвалидов войны (субвенция из бюджета РК)</t>
  </si>
  <si>
    <t>в т.ч. на предоставление льгот отдельным категориям граждан на жилищно-коммунальные услуги  (субвенция из бюджета РК)</t>
  </si>
  <si>
    <t>в т.ч. На социальную женщинам,удостоенным почетного звания Украины "Мать-героиня", проживающим в Автономной Республики Крым на жилищно-коммунальные услуги ( субвенция из бюджета РК)</t>
  </si>
  <si>
    <t>капитальные расходы за счет средств, которые передаются из общего фонда в бюджет развития (специального фонда)</t>
  </si>
  <si>
    <t>Субвенция на проведенгие расходов местных бюджетов, которые не учитываются при определении объема межбюджетных трансфертов( субвенция из бюта Республики Крым бюджетам городов и районов на обеспечение государственных гарантий бесплатного оказания гражданам медицинской помощи)</t>
  </si>
  <si>
    <t>Проведение выборов депутатов представительных органов муниципальных образований в Республике Крым ( субвенция из бюджета Республики Крым )</t>
  </si>
  <si>
    <t>Охрана здоровья населения</t>
  </si>
  <si>
    <t>Культура</t>
  </si>
  <si>
    <t>Общие и специализированные стоматологические поликлиники</t>
  </si>
  <si>
    <t>Разработка схем и проектных решений массового применения</t>
  </si>
  <si>
    <t>целевой фонд развития инфраструктуры города</t>
  </si>
  <si>
    <t xml:space="preserve">Содержание и учебно-тренировочная работа детско-юношеских спортивных школ </t>
  </si>
  <si>
    <t>Компенсационные выплаты инвалидам на бензин, ремонт, техобслуживание автотранспорта и транспортное обслуживание (субвенция из бюджета Республики Крым)</t>
  </si>
  <si>
    <t>Модернизация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оброазования" на 2013-2020 годы"(субвенция и з бюджета Республики Крым)</t>
  </si>
  <si>
    <t>в т.ч. субвенция на обеспечение питанием (завтраками) учеников 5-11 классов общеобразовательных учебных заведений( субвенция из  бюджета  Республики Крым)</t>
  </si>
  <si>
    <t>в т.ч. субвенция из  бюджета  Республики Крым местным бюджетам на частичное возмещение стоимости лекарственных препаратов для лечения лиц с гипертонической болезнью</t>
  </si>
  <si>
    <t>Льготы ветеранам войны, лицам, на которые распространяется действие Закона Украины "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госбюджета Украины)</t>
  </si>
  <si>
    <t xml:space="preserve"> Льготы ветеранам военной службы, ветеранам органов внутренних дел, ветеранам налоговой милиции, ветеранам государственной пожарной охраны, ветеранам Государственной криминально-исполнительной службы, ветеранам службы гражданской защиты, ветеранам  Государственной службы специальной связи и защиты информации Украины, вдовам (вдовцам) умерших (погибших) ветеранов военной службы, ветеранов органов внутренних дел, ветеранов налоговой милиции, ветеранов государственной пожарной охраны, </t>
  </si>
  <si>
    <t>ветеранов Государственной криминально-исполнительной службы, ветеранов службы гражданской защиты и ветеранов Государственной службы специальной связи и защиты информации Украины,освобожденным из службы по возрасту, болезни или выслугой лет военнослужащим Службы безопасности Украины, работникам милиции, лицам  начальственного состава налоговой милиции, рядового и начальственного  состава криминально исполнительной системы, государственной пожарной охраны, пенсионерам из числа следователей прокуратуры, детям (до достижения совершеннолетия) работников милиции, лиц начальственного состава налоговой милиции, рядового</t>
  </si>
  <si>
    <t>мероприятия по реализации программы поддержки детей и молодежи г.Евпатории на 2006-2011гг. (молодежные трудовые отряды)</t>
  </si>
  <si>
    <t>Помощь детям-сиротам и детям, лишенным родительской опеки, которым исполняется 18 лет</t>
  </si>
  <si>
    <t>в т.ч. субвенция из бюджета Республики Крым на обеспечение государственных гарантий бесплатного оказания гражданам медицинской помощи</t>
  </si>
  <si>
    <t xml:space="preserve">криминально-исполнительной системы, государственной пожарной охраны, погибших в связи с выполнением служебных обязанностей нетрудоспособным членам семей, которые находились на иждивении, на приобретение твердого топлива (субвенция из бюджета Республики Крым) </t>
  </si>
  <si>
    <t xml:space="preserve">Льготы гражданам, которые пострадали вследствие Чернобыльской катастрофы, женам (мужьям) и опекунам (на момент опекунства) детей умерших граждан, смерть которых связана с Чернобыльской катастрофой,  на жилищно-коммунальные услуги (субвенция из Государственного бюджета Украины) </t>
  </si>
  <si>
    <t>Расходы за счет иных межбюджетных трансфертов бюджету Республики Крым на финансовое обеспечение в 2014 году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</si>
  <si>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мероприятия по программе поддержки и развития малого предпринимательства</t>
  </si>
  <si>
    <t>Расходы на проведение работ, связанных со строительством, реконструкцией, ремонтом и содержанием автомобильных дорог (кредиторская задолженность)</t>
  </si>
  <si>
    <t>Охрана и рациональное использование земель</t>
  </si>
  <si>
    <t>Транспорт, дорожное хозяйство, связь, телекоммуникации и информатика</t>
  </si>
  <si>
    <t>Межбюджетные трансферты</t>
  </si>
  <si>
    <t>Расходы общего фонда</t>
  </si>
  <si>
    <t xml:space="preserve">Служба по делам детей Евпаторийского городского совета </t>
  </si>
  <si>
    <t>Выплаты денежной компенсации физическим лицам, которые предоставляют социальные услуги гражданам преклонного возраста, инвалидам, детям-инвалидам, больным, не способным к самообслуживанию и требующим посторонней помощи</t>
  </si>
  <si>
    <t>Целевые фонды, созданные Верховным Советом Автономной Республики Крым, органами местного самоуправления и местными органами исполнительной власти</t>
  </si>
  <si>
    <t>Управление торговли и административных услуг</t>
  </si>
  <si>
    <t xml:space="preserve">Проведение учебно-тренировочных сборов и соревнований </t>
  </si>
  <si>
    <t xml:space="preserve">Доходы  городского бюджета  на 2014 год  </t>
  </si>
  <si>
    <t>руб.</t>
  </si>
  <si>
    <t>Наименование доходов согласно бюджетной классификации</t>
  </si>
  <si>
    <t>КОД</t>
  </si>
  <si>
    <t xml:space="preserve">Всего </t>
  </si>
  <si>
    <t xml:space="preserve"> </t>
  </si>
  <si>
    <t>в т.ч. бюджет развития</t>
  </si>
  <si>
    <t>Налоговые поступления</t>
  </si>
  <si>
    <t>Налоги на доходы, налоги на прибыль, налоги на увеличение рыночной стоимости</t>
  </si>
  <si>
    <t xml:space="preserve">Налог на доходы физических лиц </t>
  </si>
  <si>
    <t>Налог на доходы физических лиц, который уплачивается налоговыми агентами, из доходов плательщика налога в виде заработной платы</t>
  </si>
  <si>
    <t>Налог на доходы физических лиц с денежного обеспечения, денежных вознаграждений и других выплат, полученных военнослужащими и лицами рядового и начальственного состава, который уплачивается налоговыми агентами</t>
  </si>
  <si>
    <t>Налог на доходы физических лиц, который уплачивается налоговыми агентами, из доходов плательщика налога других чем заработная плата</t>
  </si>
  <si>
    <t>Налог на доходы физических лиц, который уплачивается физическими лицами по результатам годового декларирования</t>
  </si>
  <si>
    <t xml:space="preserve">Налог на прибыль предприятий </t>
  </si>
  <si>
    <t>Налог на прибыль предприятий и финансовых учреждений коммунальной собственности</t>
  </si>
  <si>
    <t>Авансовые взносы налога на прибыль предприятий и финансовых учреждений коммунальной собственности</t>
  </si>
  <si>
    <t>Налоги на собственность</t>
  </si>
  <si>
    <t>Сбор за первую регистрацию транспортного средства</t>
  </si>
  <si>
    <t>Сбор за первую регистрацию колесных транспортных средств (юридических лиц)</t>
  </si>
  <si>
    <t>Сбор за первую регистрацию колесных транспортных средств (физических лиц)</t>
  </si>
  <si>
    <t>Сбор за первую регистрацию судов (юридических лиц)</t>
  </si>
  <si>
    <t>Сбор за первую регистрацию судов (физических лиц)</t>
  </si>
  <si>
    <t>Сборы и плата  за специальное использование природных ресурсов</t>
  </si>
  <si>
    <t xml:space="preserve">Плата за землю </t>
  </si>
  <si>
    <t xml:space="preserve">Земельный налог с юридических лиц </t>
  </si>
  <si>
    <t xml:space="preserve">Арендная плата с юридических лиц </t>
  </si>
  <si>
    <t xml:space="preserve">Земельный налог с физических лиц </t>
  </si>
  <si>
    <t xml:space="preserve">Арендная плата с физических лиц </t>
  </si>
  <si>
    <t>Местные налоги и сборы</t>
  </si>
  <si>
    <t>Налог на недвижимое имущество, отличное от земельного участка</t>
  </si>
  <si>
    <t>Налог на недвижимое имущество, отличное от земельного участка, уплаченный юридическими лицами</t>
  </si>
  <si>
    <t>Налог на недвижимое имущество, отличное от земельного участка, уплаченный физическими лицами</t>
  </si>
  <si>
    <t>Туристический сбор</t>
  </si>
  <si>
    <t>Туристический сбор, уплаченный юридическими лицами</t>
  </si>
  <si>
    <t>Туристический сбор, уплаченный физическими лицами</t>
  </si>
  <si>
    <t>Сбор за осуществление некоторых видов предпринимательской деятельности</t>
  </si>
  <si>
    <t>Сбор за осуществление торговой деятельности (розничная торговля), уплаченный физическими лицами</t>
  </si>
  <si>
    <t>Сбор за осуществление торговой деятельности (розничная торговля), уплаченный юридическими лицами</t>
  </si>
  <si>
    <t>Сбор за осуществление торговой деятельности (оптовая торговля), уплаченный физическими лицами</t>
  </si>
  <si>
    <t>Сбор за осуществление торговой деятельности (ресторанное хозяйство), уплаченный физическими лицами</t>
  </si>
  <si>
    <t>Сбор за осуществление торговой деятельности (оптовая торговля), уплаченный юридическими лицами</t>
  </si>
  <si>
    <t>Сбор за осуществление торговой деятельности (ресторанное хозяйство), уплаченный юридическими лицами</t>
  </si>
  <si>
    <t>Сбор за осуществление торговой деятельности от приобретения льготного торгового патента</t>
  </si>
  <si>
    <t>Сбор за осуществление деятельности от предоставления платных услуг, уплаченный юридическими лицами</t>
  </si>
  <si>
    <t xml:space="preserve">Сбор за осуществление торговой деятельности нефтепродуктами, сжиженным и сжатым газом на стационарных, малогабаритных и передвижных автозаправочных станциях, заправочных пунктах </t>
  </si>
  <si>
    <t>Сбор за осуществление деятельности в сфере развлечений, уплаченный юридическими лицами</t>
  </si>
  <si>
    <t>Сбор за осуществление деятельности в сфере развлечений, уплаченный физическими лицами</t>
  </si>
  <si>
    <t>Единый налог</t>
  </si>
  <si>
    <t>Единый налог с юридических лиц</t>
  </si>
  <si>
    <t>Единый налог с физических лиц</t>
  </si>
  <si>
    <t>Прочие налоги и сборы</t>
  </si>
  <si>
    <t>Экологический налог</t>
  </si>
  <si>
    <t>Поступление от выбросов загрязняющих веществ в атмосферный воздух стационарными источниками загрязнения</t>
  </si>
  <si>
    <t>Поступление от размещения отходов в специально отведенных для этого местах или на объектах, кроме размещения отдельных видов отходов как вторичного сырья</t>
  </si>
  <si>
    <t>Неналоговые поступления</t>
  </si>
  <si>
    <t>Доходы от собственности и предпринимательской деятельности</t>
  </si>
  <si>
    <t>41035200 Субвенция на проведение расходов местных бюджетов, которые учитываются при определении объема межбюджетных трансфертов</t>
  </si>
  <si>
    <t>Общий обьем финансирования строительства</t>
  </si>
  <si>
    <t xml:space="preserve">Процент завершенности строительства объектов на 01.01.2014г. </t>
  </si>
  <si>
    <t>Всего расходов на завершение строительства объектов  на следующие годы</t>
  </si>
  <si>
    <t>Всего расходов на 2014 год</t>
  </si>
  <si>
    <t xml:space="preserve">Наименование кода временной классификации расходов и кредитования местных бюджетов              </t>
  </si>
  <si>
    <t xml:space="preserve">Реконструкция благоустройства у собора св.Николая Чудотворца и мечети Джума-Джами с прилегающим пер.Летным в г.Евпатория (в том числе ПИР) </t>
  </si>
  <si>
    <t xml:space="preserve">Реконструкция набережной им.Терешковой с прилегающим сквером им.Караева в г.Евпатория (1 очередь - участок от переулка св.Елизара до пансионата "Орбита"),  в том числе ПИР </t>
  </si>
  <si>
    <t>Строительство котельной по ул.5-й Авиагородок  в г.Евпатория (корректировка)</t>
  </si>
  <si>
    <t>Реконструкция благоустройства пер.Музейный с заменой сетей электроснабжения в г. Евпатория</t>
  </si>
  <si>
    <t xml:space="preserve">Магистральные тепловые сети от районной котельной VIII микрорайона по ул.Чапаева, 119 г.Евпаториb с предизолированными трубами ТГИ ПО D638/800мм. Реконструкция </t>
  </si>
  <si>
    <t>Магистральные тепловые сети от районной котельной VIII микрорайона по ул.Чапаева, 119 г.Евпатории с предизолированными трубами ТГИ ПО D638/800мм. Реконструкция  (субвенция из бюджета Ресчпублики Крым)</t>
  </si>
  <si>
    <t>Магистральные тепловые сети от районной котельной 8 микрорайона по ул.Чапаева, 119 г.Евпаториb с предизолированными трубами ТГИ ПО D638/800мм. Реконструкция  (дополнительные работы) (субвенция из бюджета Ресчпублики Крым)</t>
  </si>
  <si>
    <t xml:space="preserve">Проектно-изыскательские работы </t>
  </si>
  <si>
    <t xml:space="preserve">Строительство детского дошкольного учреждения в мкр.Исмаил-бей (в т.ч. ПИР) </t>
  </si>
  <si>
    <t>Строительство карантийной площадки для временного содержания бездомных животных на территории коммунального предприятия "АТСО" по Черноморскому шоссе, 25 в г.Евпатория</t>
  </si>
  <si>
    <t>Приложение 5</t>
  </si>
  <si>
    <r>
      <t>Распределение</t>
    </r>
    <r>
      <rPr>
        <sz val="28"/>
        <rFont val="Times New Roman"/>
        <family val="1"/>
      </rPr>
      <t xml:space="preserve"> </t>
    </r>
    <r>
      <rPr>
        <b/>
        <sz val="28"/>
        <rFont val="Times New Roman"/>
        <family val="1"/>
      </rPr>
      <t>субвенций из Государственного бюджета Украины  на 2014 год</t>
    </r>
  </si>
  <si>
    <t>Наименование расходов по КФК</t>
  </si>
  <si>
    <t xml:space="preserve">КФК </t>
  </si>
  <si>
    <t>Общий фонд</t>
  </si>
  <si>
    <t>Всего по общему фонду</t>
  </si>
  <si>
    <t>Специальный фонд</t>
  </si>
  <si>
    <t>Расходы на финансирование работ, связанных со строительством, реконструкцией, ремонтом и содержание автомобильных дорог общего пользования</t>
  </si>
  <si>
    <t>Мероприятия по реализации Программы по обращению с животными г.Евпатория на 2010-2014 годы(решение городского совета от 29.01.2010г. №5-57/2)</t>
  </si>
  <si>
    <t>Программа привлечения инвестиций в экономику города Евпатория на 2012-2015 годы (решение городского совета от 22.07.2011г. №6-11/2)</t>
  </si>
  <si>
    <t>Городская программа по энергосбережению на 2007-2015 годы  (решение городского совета от 27.04.2007г. №5-16/13)</t>
  </si>
  <si>
    <t>Управление по физической культуре и спорта Евпаторийского городского совета</t>
  </si>
  <si>
    <t>Программа развития массовой физической культуры и спорта высших достижений  города Евпатории на 2012-2015 годы ( решение городского совета от 26.08.2011г. №6-12/2)</t>
  </si>
  <si>
    <t>Финансовая поддержка спортивных сооружений</t>
  </si>
  <si>
    <t>Программа строительства, реконструкции и капитального ремонта объектов социально-бытового назначения, объектов инфраструктуры, реконструкции устаревшего жилья города Евпатории на 2012-2015 годы  ( решение  городского совета от 26.08.2011г. №6-12/13)</t>
  </si>
  <si>
    <t>Мероприятия по реализации Программы по обращению с животными г.Евпатория на 2010-2014 годы</t>
  </si>
  <si>
    <t>Комплексная городская Программа развития санаторно-курортного и туристического комплекса города Евпатории на 2012-2015 годы ( решенгие городского совета от 26.08.2011г. №6-12/6)</t>
  </si>
  <si>
    <t>Программа охраны и улучшения состояния окружающей природной среды на территории города Евпатории на 2010-2015 годы (решение городского совета от 30.10.2009г. №5-51/9)</t>
  </si>
  <si>
    <t>Детские дома (в том числе семейного типа, приемные семьи) (субвенция )</t>
  </si>
  <si>
    <t>Льготы ветеранам войны, лицам, на которые распространяется действие Закона Украины "О статусе ветеранам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на приобретение твердого топлива и сжиженного газа (субвенция из бюджета Республики Крым)</t>
  </si>
  <si>
    <t>Прочие 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ветеранам труда,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(субвенция из Государственного бюджета Украины)</t>
  </si>
  <si>
    <t>в т.ч. мероприятия в сфере защиты населения и территорий от чрезвычайных ситуаций техногенного и природного характера</t>
  </si>
  <si>
    <t>Льготы ветеранам войны, лицам, на которые распространяется действие Закона Украины "О статусе ветеранов войны, гарантиях их социальной защиты", лицам, которые имеют особые заслуги перед Родиной, вдовам (вдовцам) и родителям умерших (погибших) лиц, которые имеют особые заслуги перед Родиной, детям войны, лицам, которые имеют особые трудовые заслуги перед Родиной, вдовам (вдовцам) и родителям умерших (погибших) лиц, которые имеют особые трудовые заслуги перед Родиной, жертвам нацистских преследований и реабилитированным гражданам, которые стали инвалидами вследствие репрессий или являются пенсионерами на жилищно-коммунальные услуги (субвенция из Государственного бюджета Украины)</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</si>
</sst>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
    <numFmt numFmtId="188" formatCode="0_ ;[Red]\-0\ "/>
    <numFmt numFmtId="189" formatCode="0.00000"/>
    <numFmt numFmtId="190" formatCode="000000"/>
    <numFmt numFmtId="191" formatCode="#,##0.000\ &quot;грн.&quot;"/>
    <numFmt numFmtId="192" formatCode="#,##0.000"/>
    <numFmt numFmtId="193" formatCode="0.0000"/>
    <numFmt numFmtId="194" formatCode="0.0%"/>
    <numFmt numFmtId="195" formatCode="0.00000%"/>
    <numFmt numFmtId="196" formatCode="0\3"/>
  </numFmts>
  <fonts count="81">
    <font>
      <sz val="10"/>
      <name val="Arial"/>
      <family val="0"/>
    </font>
    <font>
      <sz val="8"/>
      <name val="Arial"/>
      <family val="0"/>
    </font>
    <font>
      <u val="single"/>
      <sz val="7.5"/>
      <color indexed="12"/>
      <name val="Arial"/>
      <family val="0"/>
    </font>
    <font>
      <u val="single"/>
      <sz val="7.5"/>
      <color indexed="36"/>
      <name val="Arial"/>
      <family val="0"/>
    </font>
    <font>
      <sz val="10"/>
      <name val="Times New Roman"/>
      <family val="1"/>
    </font>
    <font>
      <b/>
      <sz val="10"/>
      <name val="Times New Roman"/>
      <family val="1"/>
    </font>
    <font>
      <sz val="10"/>
      <color indexed="8"/>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sz val="10"/>
      <name val="Arial Cyr"/>
      <family val="0"/>
    </font>
    <font>
      <sz val="9"/>
      <name val="Times New Roman"/>
      <family val="1"/>
    </font>
    <font>
      <sz val="7"/>
      <name val="Times New Roman"/>
      <family val="1"/>
    </font>
    <font>
      <sz val="11"/>
      <name val="Times New Roman"/>
      <family val="1"/>
    </font>
    <font>
      <sz val="13"/>
      <name val="Times New Roman"/>
      <family val="1"/>
    </font>
    <font>
      <b/>
      <sz val="13"/>
      <name val="Times New Roman"/>
      <family val="1"/>
    </font>
    <font>
      <sz val="13"/>
      <color indexed="8"/>
      <name val="Times New Roman"/>
      <family val="1"/>
    </font>
    <font>
      <sz val="10"/>
      <name val="Arial Cyr"/>
      <family val="2"/>
    </font>
    <font>
      <sz val="28"/>
      <name val="Arial Cyr"/>
      <family val="0"/>
    </font>
    <font>
      <b/>
      <sz val="28"/>
      <name val="Arial Cyr"/>
      <family val="0"/>
    </font>
    <font>
      <sz val="28"/>
      <name val="Times New Roman"/>
      <family val="1"/>
    </font>
    <font>
      <b/>
      <sz val="28"/>
      <name val="Arial"/>
      <family val="0"/>
    </font>
    <font>
      <sz val="28"/>
      <name val="Arial"/>
      <family val="0"/>
    </font>
    <font>
      <b/>
      <sz val="28"/>
      <name val="Times New Roman"/>
      <family val="1"/>
    </font>
    <font>
      <sz val="22"/>
      <name val="Arial Cyr"/>
      <family val="2"/>
    </font>
    <font>
      <sz val="28"/>
      <color indexed="8"/>
      <name val="Times New Roman"/>
      <family val="1"/>
    </font>
    <font>
      <sz val="28"/>
      <color indexed="10"/>
      <name val="Arial"/>
      <family val="0"/>
    </font>
    <font>
      <i/>
      <sz val="28"/>
      <name val="Times New Roman"/>
      <family val="1"/>
    </font>
    <font>
      <b/>
      <i/>
      <sz val="28"/>
      <name val="Times New Roman"/>
      <family val="1"/>
    </font>
    <font>
      <b/>
      <i/>
      <sz val="28"/>
      <name val="Arial"/>
      <family val="0"/>
    </font>
    <font>
      <i/>
      <sz val="28"/>
      <name val="Arial"/>
      <family val="0"/>
    </font>
    <font>
      <u val="single"/>
      <sz val="28"/>
      <color indexed="10"/>
      <name val="Arial"/>
      <family val="0"/>
    </font>
    <font>
      <sz val="28"/>
      <name val="Helv"/>
      <family val="0"/>
    </font>
    <font>
      <sz val="24"/>
      <name val="Arial Cyr"/>
      <family val="2"/>
    </font>
    <font>
      <sz val="28"/>
      <color indexed="10"/>
      <name val="Arial Cyr"/>
      <family val="0"/>
    </font>
    <font>
      <sz val="28"/>
      <color indexed="10"/>
      <name val="Times New Roman"/>
      <family val="1"/>
    </font>
    <font>
      <sz val="16"/>
      <name val="Times New Roman"/>
      <family val="1"/>
    </font>
    <font>
      <sz val="20"/>
      <name val="Times New Roman"/>
      <family val="1"/>
    </font>
    <font>
      <sz val="20"/>
      <name val="Arial Cyr"/>
      <family val="0"/>
    </font>
    <font>
      <sz val="11"/>
      <name val="Arial"/>
      <family val="0"/>
    </font>
    <font>
      <sz val="8"/>
      <name val="Arial Cyr"/>
      <family val="2"/>
    </font>
    <font>
      <b/>
      <sz val="10"/>
      <name val="Arial"/>
      <family val="2"/>
    </font>
    <font>
      <b/>
      <sz val="9"/>
      <name val="Arial Cyr"/>
      <family val="2"/>
    </font>
    <font>
      <b/>
      <sz val="9"/>
      <name val="Arial"/>
      <family val="2"/>
    </font>
    <font>
      <sz val="9"/>
      <name val="Arial"/>
      <family val="2"/>
    </font>
    <font>
      <sz val="14"/>
      <name val="Helv"/>
      <family val="0"/>
    </font>
    <font>
      <sz val="14"/>
      <name val="Times New Roman"/>
      <family val="1"/>
    </font>
    <font>
      <b/>
      <sz val="18"/>
      <name val="Times New Roman"/>
      <family val="1"/>
    </font>
    <font>
      <b/>
      <sz val="14"/>
      <name val="Arial"/>
      <family val="2"/>
    </font>
    <font>
      <b/>
      <sz val="18"/>
      <name val="Arial"/>
      <family val="2"/>
    </font>
    <font>
      <b/>
      <sz val="14"/>
      <name val="Times New Roman"/>
      <family val="1"/>
    </font>
    <font>
      <b/>
      <sz val="16"/>
      <name val="Times New Roman"/>
      <family val="1"/>
    </font>
    <font>
      <sz val="14"/>
      <name val="Arial"/>
      <family val="2"/>
    </font>
    <font>
      <sz val="18"/>
      <name val="Times New Roman"/>
      <family val="1"/>
    </font>
    <font>
      <b/>
      <sz val="18"/>
      <color indexed="10"/>
      <name val="Times New Roman"/>
      <family val="1"/>
    </font>
    <font>
      <sz val="16"/>
      <name val="Helv"/>
      <family val="0"/>
    </font>
    <font>
      <b/>
      <sz val="20"/>
      <name val="Times New Roman"/>
      <family val="1"/>
    </font>
    <font>
      <sz val="16"/>
      <name val="Arial"/>
      <family val="0"/>
    </font>
    <font>
      <sz val="14"/>
      <color indexed="10"/>
      <name val="Arial"/>
      <family val="0"/>
    </font>
    <font>
      <sz val="14"/>
      <color indexed="10"/>
      <name val="Helv"/>
      <family val="0"/>
    </font>
    <font>
      <sz val="26"/>
      <name val="Arial Cyr"/>
      <family val="0"/>
    </font>
    <font>
      <u val="single"/>
      <sz val="12"/>
      <name val="Times New Roman"/>
      <family val="1"/>
    </font>
    <font>
      <u val="single"/>
      <sz val="24"/>
      <name val="Times New Roman"/>
      <family val="1"/>
    </font>
    <font>
      <u val="single"/>
      <sz val="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style="medium"/>
      <bottom style="medium"/>
    </border>
    <border>
      <left>
        <color indexed="63"/>
      </left>
      <right style="thin"/>
      <top>
        <color indexed="63"/>
      </top>
      <bottom style="thin"/>
    </border>
    <border>
      <left style="thin"/>
      <right style="medium"/>
      <top>
        <color indexed="63"/>
      </top>
      <bottom style="medium"/>
    </border>
    <border>
      <left style="medium"/>
      <right>
        <color indexed="63"/>
      </right>
      <top>
        <color indexed="63"/>
      </top>
      <bottom>
        <color indexed="63"/>
      </bottom>
    </border>
    <border>
      <left style="medium"/>
      <right style="thin"/>
      <top style="thin"/>
      <bottom style="medium"/>
    </border>
    <border>
      <left style="thin"/>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s>
  <cellStyleXfs count="64">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cellStyleXfs>
  <cellXfs count="559">
    <xf numFmtId="0" fontId="0" fillId="0" borderId="0" xfId="0" applyAlignment="1">
      <alignment/>
    </xf>
    <xf numFmtId="189" fontId="4" fillId="0" borderId="10" xfId="0" applyNumberFormat="1" applyFont="1" applyFill="1" applyBorder="1" applyAlignment="1">
      <alignment vertical="top" wrapText="1"/>
    </xf>
    <xf numFmtId="189" fontId="4" fillId="0" borderId="10" xfId="0" applyNumberFormat="1" applyFont="1" applyFill="1" applyBorder="1" applyAlignment="1">
      <alignment horizontal="left" vertical="top" wrapText="1"/>
    </xf>
    <xf numFmtId="189" fontId="6" fillId="0" borderId="10" xfId="0" applyNumberFormat="1" applyFont="1" applyFill="1" applyBorder="1" applyAlignment="1">
      <alignment vertical="top" wrapText="1"/>
    </xf>
    <xf numFmtId="189" fontId="5" fillId="20" borderId="10" xfId="0" applyNumberFormat="1" applyFont="1" applyFill="1" applyBorder="1" applyAlignment="1">
      <alignment vertical="top" wrapText="1"/>
    </xf>
    <xf numFmtId="189" fontId="5" fillId="20" borderId="10" xfId="0" applyNumberFormat="1" applyFont="1" applyFill="1" applyBorder="1" applyAlignment="1">
      <alignment vertical="center" wrapText="1"/>
    </xf>
    <xf numFmtId="189" fontId="5" fillId="20" borderId="10" xfId="0" applyNumberFormat="1" applyFont="1" applyFill="1" applyBorder="1" applyAlignment="1">
      <alignment horizontal="left"/>
    </xf>
    <xf numFmtId="189" fontId="4" fillId="0" borderId="10" xfId="0" applyNumberFormat="1" applyFont="1" applyFill="1" applyBorder="1" applyAlignment="1">
      <alignment/>
    </xf>
    <xf numFmtId="189" fontId="5" fillId="0" borderId="10" xfId="0" applyNumberFormat="1" applyFont="1" applyFill="1" applyBorder="1" applyAlignment="1">
      <alignment vertical="top" wrapText="1"/>
    </xf>
    <xf numFmtId="189" fontId="5" fillId="20" borderId="10" xfId="0" applyNumberFormat="1" applyFont="1" applyFill="1" applyBorder="1" applyAlignment="1">
      <alignment/>
    </xf>
    <xf numFmtId="0" fontId="26" fillId="0" borderId="0" xfId="0" applyAlignment="1">
      <alignment/>
    </xf>
    <xf numFmtId="0" fontId="4" fillId="0" borderId="0" xfId="0" applyFont="1" applyAlignment="1">
      <alignment/>
    </xf>
    <xf numFmtId="0" fontId="8" fillId="0" borderId="0" xfId="0" applyFont="1" applyAlignment="1">
      <alignment/>
    </xf>
    <xf numFmtId="0" fontId="27" fillId="0" borderId="0" xfId="0" applyFont="1" applyAlignment="1">
      <alignment horizontal="left"/>
    </xf>
    <xf numFmtId="189" fontId="28" fillId="0" borderId="11" xfId="0" applyNumberFormat="1" applyFont="1" applyFill="1" applyBorder="1" applyAlignment="1">
      <alignment horizontal="left" vertical="top" wrapText="1"/>
    </xf>
    <xf numFmtId="0" fontId="26" fillId="0" borderId="0" xfId="0" applyAlignment="1">
      <alignment vertical="center"/>
    </xf>
    <xf numFmtId="0" fontId="26" fillId="0" borderId="0" xfId="0" applyAlignment="1">
      <alignment horizontal="right"/>
    </xf>
    <xf numFmtId="0" fontId="29"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20" borderId="10" xfId="0" applyFont="1" applyFill="1" applyBorder="1" applyAlignment="1" quotePrefix="1">
      <alignment vertical="center"/>
    </xf>
    <xf numFmtId="2" fontId="5" fillId="20" borderId="10" xfId="0" applyNumberFormat="1" applyFont="1" applyFill="1" applyBorder="1" applyAlignment="1">
      <alignment vertical="center"/>
    </xf>
    <xf numFmtId="0" fontId="4" fillId="0" borderId="10" xfId="0" applyFont="1" applyBorder="1" applyAlignment="1" quotePrefix="1">
      <alignment vertical="center"/>
    </xf>
    <xf numFmtId="2" fontId="4" fillId="0" borderId="10" xfId="0" applyNumberFormat="1" applyFont="1" applyBorder="1" applyAlignment="1">
      <alignment vertical="center"/>
    </xf>
    <xf numFmtId="2" fontId="4" fillId="0" borderId="10" xfId="0" applyNumberFormat="1" applyFont="1" applyFill="1" applyBorder="1" applyAlignment="1">
      <alignment vertical="center"/>
    </xf>
    <xf numFmtId="0" fontId="4" fillId="0" borderId="10" xfId="0" applyFont="1" applyBorder="1" applyAlignment="1">
      <alignment vertical="center" wrapText="1"/>
    </xf>
    <xf numFmtId="189" fontId="4" fillId="0" borderId="10" xfId="0" applyNumberFormat="1" applyFont="1" applyFill="1" applyBorder="1" applyAlignment="1">
      <alignment vertical="center" wrapText="1"/>
    </xf>
    <xf numFmtId="189" fontId="4" fillId="0" borderId="10" xfId="0" applyNumberFormat="1" applyFont="1" applyFill="1" applyBorder="1" applyAlignment="1">
      <alignment horizontal="left" vertical="center" wrapText="1"/>
    </xf>
    <xf numFmtId="189" fontId="4" fillId="0" borderId="10" xfId="0" applyNumberFormat="1" applyFont="1" applyBorder="1" applyAlignment="1">
      <alignment horizontal="left" vertical="center" wrapText="1"/>
    </xf>
    <xf numFmtId="189" fontId="4" fillId="0" borderId="10" xfId="0" applyNumberFormat="1" applyFont="1" applyBorder="1" applyAlignment="1">
      <alignment vertical="center" wrapText="1"/>
    </xf>
    <xf numFmtId="0" fontId="5" fillId="20" borderId="10" xfId="0" applyFont="1" applyFill="1" applyBorder="1" applyAlignment="1">
      <alignment vertical="center" wrapText="1"/>
    </xf>
    <xf numFmtId="189" fontId="6" fillId="0" borderId="10" xfId="0" applyNumberFormat="1" applyFont="1" applyFill="1" applyBorder="1" applyAlignment="1">
      <alignment wrapText="1"/>
    </xf>
    <xf numFmtId="0" fontId="5" fillId="20" borderId="10" xfId="0" applyFont="1" applyFill="1" applyBorder="1" applyAlignment="1">
      <alignment vertical="center"/>
    </xf>
    <xf numFmtId="0" fontId="5" fillId="0" borderId="10" xfId="0" applyFont="1" applyFill="1" applyBorder="1" applyAlignment="1">
      <alignment vertical="center"/>
    </xf>
    <xf numFmtId="2" fontId="5" fillId="0" borderId="10" xfId="0" applyNumberFormat="1" applyFont="1" applyFill="1" applyBorder="1" applyAlignment="1">
      <alignment vertical="center"/>
    </xf>
    <xf numFmtId="0" fontId="26" fillId="0" borderId="0" xfId="0" applyFill="1" applyAlignment="1">
      <alignment/>
    </xf>
    <xf numFmtId="0" fontId="27" fillId="0" borderId="0" xfId="0" applyFont="1" applyAlignment="1">
      <alignment horizontal="left" vertical="center"/>
    </xf>
    <xf numFmtId="2" fontId="26" fillId="0" borderId="0" xfId="0" applyNumberFormat="1" applyAlignment="1">
      <alignment/>
    </xf>
    <xf numFmtId="14" fontId="26" fillId="0" borderId="0" xfId="0" applyNumberFormat="1" applyAlignment="1">
      <alignment vertical="center"/>
    </xf>
    <xf numFmtId="2" fontId="4" fillId="0" borderId="12" xfId="0" applyNumberFormat="1" applyFont="1" applyFill="1" applyBorder="1" applyAlignment="1">
      <alignment vertical="center"/>
    </xf>
    <xf numFmtId="2" fontId="4" fillId="0" borderId="13" xfId="0" applyNumberFormat="1" applyFont="1" applyFill="1" applyBorder="1" applyAlignment="1">
      <alignment vertical="center"/>
    </xf>
    <xf numFmtId="0" fontId="5" fillId="0" borderId="0" xfId="0" applyFont="1" applyFill="1" applyBorder="1" applyAlignment="1">
      <alignment vertical="center"/>
    </xf>
    <xf numFmtId="189" fontId="5" fillId="0" borderId="0" xfId="0" applyNumberFormat="1" applyFont="1" applyFill="1" applyBorder="1" applyAlignment="1">
      <alignment/>
    </xf>
    <xf numFmtId="2" fontId="5" fillId="0" borderId="0" xfId="0" applyNumberFormat="1" applyFont="1" applyFill="1" applyBorder="1" applyAlignment="1">
      <alignment vertical="center"/>
    </xf>
    <xf numFmtId="0" fontId="4" fillId="0" borderId="10" xfId="0" applyFont="1" applyBorder="1" applyAlignment="1" quotePrefix="1">
      <alignment horizontal="left" vertical="center"/>
    </xf>
    <xf numFmtId="2" fontId="4" fillId="0" borderId="10" xfId="0" applyNumberFormat="1" applyFont="1" applyBorder="1" applyAlignment="1" quotePrefix="1">
      <alignment vertical="center"/>
    </xf>
    <xf numFmtId="0" fontId="31" fillId="0" borderId="10" xfId="0" applyFont="1" applyBorder="1" applyAlignment="1">
      <alignment horizontal="center" vertical="center" wrapText="1"/>
    </xf>
    <xf numFmtId="0" fontId="32" fillId="0" borderId="14" xfId="0" applyFont="1" applyFill="1" applyBorder="1" applyAlignment="1">
      <alignment horizontal="left" vertical="center" wrapText="1"/>
    </xf>
    <xf numFmtId="0" fontId="31" fillId="0" borderId="0" xfId="0" applyFont="1" applyAlignment="1">
      <alignment/>
    </xf>
    <xf numFmtId="0" fontId="31" fillId="0" borderId="0" xfId="0" applyFont="1" applyFill="1" applyBorder="1" applyAlignment="1">
      <alignment horizontal="left"/>
    </xf>
    <xf numFmtId="0" fontId="31" fillId="0" borderId="0" xfId="0" applyFont="1" applyFill="1" applyAlignment="1">
      <alignment horizontal="left"/>
    </xf>
    <xf numFmtId="0" fontId="32" fillId="0" borderId="0" xfId="0" applyFont="1" applyAlignment="1">
      <alignment/>
    </xf>
    <xf numFmtId="0" fontId="31" fillId="0" borderId="0" xfId="0" applyFont="1" applyAlignment="1">
      <alignment/>
    </xf>
    <xf numFmtId="0" fontId="31" fillId="0" borderId="0" xfId="0" applyFont="1" applyAlignment="1">
      <alignment horizontal="right"/>
    </xf>
    <xf numFmtId="0" fontId="32" fillId="0" borderId="14" xfId="0" applyFont="1" applyBorder="1" applyAlignment="1">
      <alignment horizontal="left"/>
    </xf>
    <xf numFmtId="0" fontId="31" fillId="24" borderId="10" xfId="0" applyFont="1" applyFill="1" applyBorder="1" applyAlignment="1">
      <alignment horizontal="center" vertical="center" wrapText="1"/>
    </xf>
    <xf numFmtId="0" fontId="32" fillId="20" borderId="15" xfId="0" applyNumberFormat="1" applyFont="1" applyFill="1" applyBorder="1" applyAlignment="1">
      <alignment horizontal="right" vertical="justify"/>
    </xf>
    <xf numFmtId="189" fontId="32" fillId="20" borderId="10" xfId="0" applyNumberFormat="1" applyFont="1" applyFill="1" applyBorder="1" applyAlignment="1">
      <alignment horizontal="left" vertical="top" wrapText="1"/>
    </xf>
    <xf numFmtId="2" fontId="32" fillId="20" borderId="10" xfId="0" applyNumberFormat="1" applyFont="1" applyFill="1" applyBorder="1" applyAlignment="1">
      <alignment vertical="center"/>
    </xf>
    <xf numFmtId="0" fontId="31" fillId="0" borderId="10" xfId="0" applyFont="1" applyBorder="1" applyAlignment="1" quotePrefix="1">
      <alignment vertical="center"/>
    </xf>
    <xf numFmtId="189" fontId="31" fillId="0" borderId="10" xfId="0" applyNumberFormat="1" applyFont="1" applyFill="1" applyBorder="1" applyAlignment="1">
      <alignment horizontal="left" vertical="top" wrapText="1"/>
    </xf>
    <xf numFmtId="2" fontId="31" fillId="0" borderId="10" xfId="0" applyNumberFormat="1" applyFont="1" applyBorder="1" applyAlignment="1">
      <alignment vertical="center"/>
    </xf>
    <xf numFmtId="2" fontId="31" fillId="24" borderId="10" xfId="0" applyNumberFormat="1" applyFont="1" applyFill="1" applyBorder="1" applyAlignment="1">
      <alignment vertical="center"/>
    </xf>
    <xf numFmtId="189" fontId="31" fillId="0" borderId="10" xfId="0" applyNumberFormat="1" applyFont="1" applyBorder="1" applyAlignment="1">
      <alignment horizontal="left" vertical="top" wrapText="1"/>
    </xf>
    <xf numFmtId="0" fontId="32" fillId="20" borderId="16" xfId="0" applyNumberFormat="1" applyFont="1" applyFill="1" applyBorder="1" applyAlignment="1">
      <alignment horizontal="right" vertical="justify"/>
    </xf>
    <xf numFmtId="189" fontId="32" fillId="20" borderId="17" xfId="0" applyNumberFormat="1" applyFont="1" applyFill="1" applyBorder="1" applyAlignment="1">
      <alignment horizontal="left" vertical="top" wrapText="1"/>
    </xf>
    <xf numFmtId="0" fontId="32" fillId="0" borderId="10" xfId="0" applyFont="1" applyBorder="1" applyAlignment="1" quotePrefix="1">
      <alignment vertical="center"/>
    </xf>
    <xf numFmtId="2" fontId="32" fillId="0" borderId="10" xfId="0" applyNumberFormat="1" applyFont="1" applyBorder="1" applyAlignment="1">
      <alignment vertical="center"/>
    </xf>
    <xf numFmtId="2" fontId="32" fillId="24" borderId="10" xfId="0" applyNumberFormat="1" applyFont="1" applyFill="1" applyBorder="1" applyAlignment="1">
      <alignment vertical="center"/>
    </xf>
    <xf numFmtId="189" fontId="33" fillId="0" borderId="10" xfId="0" applyNumberFormat="1" applyFont="1" applyFill="1" applyBorder="1" applyAlignment="1">
      <alignment horizontal="center" vertical="center" wrapText="1"/>
    </xf>
    <xf numFmtId="0" fontId="31" fillId="0" borderId="18" xfId="0" applyFont="1" applyBorder="1" applyAlignment="1" quotePrefix="1">
      <alignment vertical="center"/>
    </xf>
    <xf numFmtId="189" fontId="31" fillId="0" borderId="11" xfId="0" applyNumberFormat="1" applyFont="1" applyFill="1" applyBorder="1" applyAlignment="1">
      <alignment horizontal="left" vertical="top" wrapText="1"/>
    </xf>
    <xf numFmtId="0" fontId="31" fillId="0" borderId="10" xfId="0" applyFont="1" applyFill="1" applyBorder="1" applyAlignment="1">
      <alignment vertical="center" wrapText="1"/>
    </xf>
    <xf numFmtId="189" fontId="31" fillId="0" borderId="10" xfId="0" applyNumberFormat="1" applyFont="1" applyFill="1" applyBorder="1" applyAlignment="1">
      <alignment vertical="top" wrapText="1"/>
    </xf>
    <xf numFmtId="0" fontId="31" fillId="0" borderId="10" xfId="0" applyFont="1" applyBorder="1" applyAlignment="1" quotePrefix="1">
      <alignment horizontal="left" vertical="center"/>
    </xf>
    <xf numFmtId="189" fontId="33" fillId="0" borderId="10" xfId="0" applyNumberFormat="1" applyFont="1" applyFill="1" applyBorder="1" applyAlignment="1">
      <alignment wrapText="1"/>
    </xf>
    <xf numFmtId="189" fontId="33" fillId="0" borderId="10" xfId="0" applyNumberFormat="1" applyFont="1" applyFill="1" applyBorder="1" applyAlignment="1">
      <alignment horizontal="left" vertical="top" wrapText="1"/>
    </xf>
    <xf numFmtId="2" fontId="31" fillId="0" borderId="10" xfId="0" applyNumberFormat="1" applyFont="1" applyFill="1" applyBorder="1" applyAlignment="1">
      <alignment horizontal="right" vertical="top"/>
    </xf>
    <xf numFmtId="189" fontId="31" fillId="0" borderId="10" xfId="0" applyNumberFormat="1" applyFont="1" applyFill="1" applyBorder="1" applyAlignment="1">
      <alignment horizontal="left" vertical="top"/>
    </xf>
    <xf numFmtId="0" fontId="32" fillId="20" borderId="15" xfId="0" applyNumberFormat="1" applyFont="1" applyFill="1" applyBorder="1" applyAlignment="1">
      <alignment horizontal="right" vertical="top"/>
    </xf>
    <xf numFmtId="0" fontId="31" fillId="0" borderId="10" xfId="0" applyFont="1" applyBorder="1" applyAlignment="1">
      <alignment vertical="center" wrapText="1"/>
    </xf>
    <xf numFmtId="2" fontId="31" fillId="0" borderId="0" xfId="0" applyNumberFormat="1" applyFont="1" applyAlignment="1">
      <alignment/>
    </xf>
    <xf numFmtId="189" fontId="31" fillId="0" borderId="11" xfId="0" applyNumberFormat="1" applyFont="1" applyBorder="1" applyAlignment="1">
      <alignment horizontal="left" vertical="top" wrapText="1"/>
    </xf>
    <xf numFmtId="0" fontId="31" fillId="0" borderId="19" xfId="0" applyFont="1" applyBorder="1" applyAlignment="1" quotePrefix="1">
      <alignment vertical="center"/>
    </xf>
    <xf numFmtId="189" fontId="31" fillId="0" borderId="10" xfId="0" applyNumberFormat="1" applyFont="1" applyFill="1" applyBorder="1" applyAlignment="1">
      <alignment vertical="justify" wrapText="1"/>
    </xf>
    <xf numFmtId="2" fontId="31" fillId="0" borderId="18" xfId="0" applyNumberFormat="1" applyFont="1" applyBorder="1" applyAlignment="1">
      <alignment vertical="center"/>
    </xf>
    <xf numFmtId="189" fontId="31" fillId="0" borderId="20" xfId="0" applyNumberFormat="1" applyFont="1" applyFill="1" applyBorder="1" applyAlignment="1">
      <alignment horizontal="left" vertical="top" wrapText="1"/>
    </xf>
    <xf numFmtId="189" fontId="31" fillId="0" borderId="10" xfId="0" applyNumberFormat="1" applyFont="1" applyFill="1" applyBorder="1" applyAlignment="1">
      <alignment horizontal="left" wrapText="1"/>
    </xf>
    <xf numFmtId="189" fontId="33" fillId="0" borderId="10" xfId="0" applyNumberFormat="1" applyFont="1" applyFill="1" applyBorder="1" applyAlignment="1">
      <alignment vertical="center" wrapText="1"/>
    </xf>
    <xf numFmtId="189" fontId="31" fillId="0" borderId="10" xfId="0" applyNumberFormat="1" applyFont="1" applyFill="1" applyBorder="1" applyAlignment="1">
      <alignment vertical="center" wrapText="1"/>
    </xf>
    <xf numFmtId="189" fontId="32" fillId="0" borderId="10" xfId="0" applyNumberFormat="1" applyFont="1" applyFill="1" applyBorder="1" applyAlignment="1">
      <alignment horizontal="left" vertical="top"/>
    </xf>
    <xf numFmtId="189" fontId="31" fillId="0" borderId="10" xfId="0" applyNumberFormat="1" applyFont="1" applyFill="1" applyBorder="1" applyAlignment="1">
      <alignment horizontal="right" vertical="top"/>
    </xf>
    <xf numFmtId="189" fontId="32" fillId="20" borderId="21" xfId="0" applyNumberFormat="1" applyFont="1" applyFill="1" applyBorder="1" applyAlignment="1">
      <alignment horizontal="left" vertical="top"/>
    </xf>
    <xf numFmtId="0" fontId="32" fillId="20" borderId="10" xfId="0" applyFont="1" applyFill="1" applyBorder="1" applyAlignment="1">
      <alignment/>
    </xf>
    <xf numFmtId="2" fontId="32" fillId="20" borderId="10" xfId="0" applyNumberFormat="1" applyFont="1" applyFill="1" applyBorder="1" applyAlignment="1">
      <alignment/>
    </xf>
    <xf numFmtId="0" fontId="32" fillId="0" borderId="0" xfId="0" applyFont="1" applyAlignment="1">
      <alignment horizontal="left"/>
    </xf>
    <xf numFmtId="189" fontId="32" fillId="0" borderId="0" xfId="0" applyNumberFormat="1" applyFont="1" applyFill="1" applyBorder="1" applyAlignment="1">
      <alignment/>
    </xf>
    <xf numFmtId="2" fontId="32" fillId="0" borderId="0" xfId="0" applyNumberFormat="1" applyFont="1" applyFill="1" applyBorder="1" applyAlignment="1">
      <alignment vertical="center"/>
    </xf>
    <xf numFmtId="0" fontId="31" fillId="0" borderId="0" xfId="0" applyFont="1" applyBorder="1" applyAlignment="1">
      <alignment/>
    </xf>
    <xf numFmtId="189" fontId="4" fillId="0" borderId="10" xfId="0" applyNumberFormat="1" applyFont="1" applyBorder="1" applyAlignment="1">
      <alignment horizontal="left" vertical="top" wrapText="1"/>
    </xf>
    <xf numFmtId="192" fontId="34" fillId="0" borderId="0" xfId="0" applyNumberFormat="1" applyFont="1" applyAlignment="1">
      <alignment horizontal="left"/>
    </xf>
    <xf numFmtId="0" fontId="31" fillId="0" borderId="18" xfId="0" applyFont="1" applyBorder="1" applyAlignment="1" quotePrefix="1">
      <alignment horizontal="left" vertical="center"/>
    </xf>
    <xf numFmtId="0" fontId="4" fillId="0" borderId="18" xfId="0" applyFont="1" applyBorder="1" applyAlignment="1" quotePrefix="1">
      <alignment horizontal="left" vertical="center"/>
    </xf>
    <xf numFmtId="0" fontId="31" fillId="0" borderId="22" xfId="0" applyFont="1" applyFill="1" applyBorder="1" applyAlignment="1">
      <alignment horizontal="center" vertical="center"/>
    </xf>
    <xf numFmtId="0" fontId="31" fillId="0" borderId="14" xfId="0" applyNumberFormat="1" applyFont="1" applyFill="1" applyBorder="1" applyAlignment="1">
      <alignment horizontal="center" vertical="center"/>
    </xf>
    <xf numFmtId="0" fontId="35" fillId="0" borderId="0" xfId="0" applyFont="1" applyAlignment="1">
      <alignment horizontal="center" vertical="center"/>
    </xf>
    <xf numFmtId="0" fontId="35" fillId="0" borderId="0" xfId="0" applyFont="1" applyFill="1" applyAlignment="1">
      <alignment horizontal="center" vertical="center"/>
    </xf>
    <xf numFmtId="189" fontId="36" fillId="0" borderId="0" xfId="0" applyNumberFormat="1" applyFont="1" applyAlignment="1">
      <alignment horizontal="center" vertical="center"/>
    </xf>
    <xf numFmtId="0" fontId="37" fillId="0" borderId="0" xfId="0" applyFont="1" applyFill="1" applyBorder="1" applyAlignment="1">
      <alignment horizontal="left"/>
    </xf>
    <xf numFmtId="189" fontId="38" fillId="0" borderId="0" xfId="0" applyNumberFormat="1" applyFont="1" applyAlignment="1">
      <alignment/>
    </xf>
    <xf numFmtId="0" fontId="38" fillId="0" borderId="0" xfId="0" applyFont="1" applyAlignment="1">
      <alignment/>
    </xf>
    <xf numFmtId="0" fontId="39" fillId="0" borderId="0" xfId="0" applyFont="1" applyAlignment="1">
      <alignment/>
    </xf>
    <xf numFmtId="189" fontId="40" fillId="0" borderId="0" xfId="0" applyNumberFormat="1" applyFont="1" applyFill="1" applyAlignment="1">
      <alignment/>
    </xf>
    <xf numFmtId="0" fontId="37" fillId="0" borderId="0" xfId="0" applyFont="1" applyFill="1" applyAlignment="1">
      <alignment horizontal="left"/>
    </xf>
    <xf numFmtId="0" fontId="39" fillId="0" borderId="0" xfId="0" applyFont="1" applyAlignment="1">
      <alignment horizontal="left"/>
    </xf>
    <xf numFmtId="192" fontId="41" fillId="0" borderId="0" xfId="0" applyNumberFormat="1" applyFont="1" applyAlignment="1">
      <alignment horizontal="left"/>
    </xf>
    <xf numFmtId="0" fontId="40" fillId="0" borderId="0" xfId="0" applyFont="1" applyAlignment="1">
      <alignment/>
    </xf>
    <xf numFmtId="0" fontId="40" fillId="0" borderId="0" xfId="0" applyFont="1" applyFill="1" applyBorder="1" applyAlignment="1">
      <alignment/>
    </xf>
    <xf numFmtId="0" fontId="36" fillId="0" borderId="0" xfId="0" applyFont="1" applyAlignment="1">
      <alignment horizontal="center" vertical="center"/>
    </xf>
    <xf numFmtId="0" fontId="40" fillId="0" borderId="0" xfId="0" applyFont="1" applyAlignment="1">
      <alignment horizontal="center" vertical="center"/>
    </xf>
    <xf numFmtId="0" fontId="36" fillId="0" borderId="0" xfId="0" applyFont="1" applyFill="1" applyAlignment="1">
      <alignment horizontal="center" vertical="center"/>
    </xf>
    <xf numFmtId="189" fontId="36" fillId="0" borderId="0" xfId="0" applyNumberFormat="1" applyFont="1" applyAlignment="1">
      <alignment horizontal="center" vertical="center"/>
    </xf>
    <xf numFmtId="0" fontId="40" fillId="0" borderId="23" xfId="0" applyFont="1" applyBorder="1" applyAlignment="1">
      <alignment horizontal="center" vertical="center"/>
    </xf>
    <xf numFmtId="0" fontId="40" fillId="0" borderId="22" xfId="0" applyFont="1" applyFill="1" applyBorder="1" applyAlignment="1">
      <alignment horizontal="center" vertical="center" wrapText="1"/>
    </xf>
    <xf numFmtId="189" fontId="40" fillId="0" borderId="10" xfId="0" applyNumberFormat="1" applyFont="1" applyFill="1" applyBorder="1" applyAlignment="1">
      <alignment horizontal="center" vertical="center" wrapText="1"/>
    </xf>
    <xf numFmtId="0" fontId="40" fillId="0" borderId="14" xfId="0" applyFont="1" applyBorder="1" applyAlignment="1">
      <alignment horizontal="center" vertical="center"/>
    </xf>
    <xf numFmtId="0" fontId="40" fillId="0" borderId="14" xfId="0" applyFont="1" applyBorder="1" applyAlignment="1">
      <alignment horizontal="center" vertical="center" wrapText="1"/>
    </xf>
    <xf numFmtId="0" fontId="40" fillId="0" borderId="14" xfId="0" applyFont="1" applyFill="1" applyBorder="1" applyAlignment="1">
      <alignment horizontal="center" vertical="center" wrapText="1"/>
    </xf>
    <xf numFmtId="1" fontId="40" fillId="0" borderId="22" xfId="0" applyNumberFormat="1" applyFont="1" applyFill="1" applyBorder="1" applyAlignment="1">
      <alignment horizontal="center" vertical="center" wrapText="1"/>
    </xf>
    <xf numFmtId="0" fontId="37" fillId="0" borderId="20" xfId="0" applyFont="1" applyBorder="1" applyAlignment="1">
      <alignment vertical="center" wrapText="1"/>
    </xf>
    <xf numFmtId="0" fontId="40" fillId="0" borderId="20" xfId="0" applyFont="1" applyBorder="1" applyAlignment="1">
      <alignment horizontal="center" vertical="center"/>
    </xf>
    <xf numFmtId="181" fontId="40" fillId="0" borderId="20" xfId="0" applyNumberFormat="1" applyFont="1" applyBorder="1" applyAlignment="1">
      <alignment horizontal="center" vertical="center" wrapText="1"/>
    </xf>
    <xf numFmtId="181" fontId="40" fillId="0" borderId="20" xfId="0" applyNumberFormat="1" applyFont="1" applyBorder="1" applyAlignment="1">
      <alignment vertical="center" wrapText="1"/>
    </xf>
    <xf numFmtId="2" fontId="37" fillId="0" borderId="20" xfId="0" applyNumberFormat="1" applyFont="1" applyBorder="1" applyAlignment="1">
      <alignment horizontal="center" vertical="center" wrapText="1"/>
    </xf>
    <xf numFmtId="181" fontId="40" fillId="0" borderId="20" xfId="0" applyNumberFormat="1" applyFont="1" applyFill="1" applyBorder="1" applyAlignment="1">
      <alignment horizontal="center" vertical="center" wrapText="1"/>
    </xf>
    <xf numFmtId="2" fontId="38" fillId="0" borderId="20" xfId="0" applyNumberFormat="1" applyFont="1" applyBorder="1" applyAlignment="1">
      <alignment/>
    </xf>
    <xf numFmtId="0" fontId="37" fillId="25" borderId="10" xfId="0" applyFont="1" applyFill="1" applyBorder="1" applyAlignment="1">
      <alignment vertical="center" wrapText="1"/>
    </xf>
    <xf numFmtId="0" fontId="40" fillId="0" borderId="10" xfId="0" applyFont="1" applyBorder="1" applyAlignment="1">
      <alignment horizontal="center" vertical="center"/>
    </xf>
    <xf numFmtId="2" fontId="37" fillId="0" borderId="10" xfId="0" applyNumberFormat="1" applyFont="1" applyBorder="1" applyAlignment="1">
      <alignment vertical="center" wrapText="1"/>
    </xf>
    <xf numFmtId="181" fontId="40" fillId="0" borderId="10" xfId="0" applyNumberFormat="1" applyFont="1" applyBorder="1" applyAlignment="1">
      <alignment horizontal="center" vertical="center" wrapText="1"/>
    </xf>
    <xf numFmtId="181" fontId="40" fillId="0" borderId="10" xfId="0" applyNumberFormat="1" applyFont="1" applyFill="1" applyBorder="1" applyAlignment="1">
      <alignment horizontal="center" vertical="center" wrapText="1"/>
    </xf>
    <xf numFmtId="2" fontId="38" fillId="0" borderId="10" xfId="0" applyNumberFormat="1" applyFont="1" applyBorder="1" applyAlignment="1">
      <alignment/>
    </xf>
    <xf numFmtId="2" fontId="38" fillId="0" borderId="10" xfId="0" applyNumberFormat="1" applyFont="1" applyBorder="1" applyAlignment="1">
      <alignment/>
    </xf>
    <xf numFmtId="0" fontId="37" fillId="0" borderId="10" xfId="0" applyFont="1" applyBorder="1" applyAlignment="1">
      <alignment vertical="center" wrapText="1"/>
    </xf>
    <xf numFmtId="0" fontId="42" fillId="0" borderId="10" xfId="0" applyFont="1" applyFill="1" applyBorder="1" applyAlignment="1">
      <alignment vertical="center" wrapText="1"/>
    </xf>
    <xf numFmtId="49" fontId="40" fillId="0" borderId="10" xfId="0" applyNumberFormat="1" applyFont="1" applyBorder="1" applyAlignment="1">
      <alignment horizontal="center" wrapText="1"/>
    </xf>
    <xf numFmtId="2" fontId="37" fillId="0" borderId="10" xfId="0" applyNumberFormat="1" applyFont="1" applyBorder="1" applyAlignment="1">
      <alignment horizontal="center"/>
    </xf>
    <xf numFmtId="181" fontId="40" fillId="0" borderId="10" xfId="0" applyNumberFormat="1" applyFont="1" applyBorder="1" applyAlignment="1">
      <alignment horizontal="center"/>
    </xf>
    <xf numFmtId="181" fontId="40" fillId="0" borderId="10" xfId="0" applyNumberFormat="1" applyFont="1" applyFill="1" applyBorder="1" applyAlignment="1">
      <alignment horizontal="center"/>
    </xf>
    <xf numFmtId="181" fontId="40" fillId="0" borderId="11" xfId="0" applyNumberFormat="1" applyFont="1" applyFill="1" applyBorder="1" applyAlignment="1">
      <alignment horizontal="center"/>
    </xf>
    <xf numFmtId="2" fontId="38" fillId="0" borderId="11" xfId="0" applyNumberFormat="1" applyFont="1" applyBorder="1" applyAlignment="1">
      <alignment horizontal="right"/>
    </xf>
    <xf numFmtId="181" fontId="40" fillId="0" borderId="12" xfId="0" applyNumberFormat="1" applyFont="1" applyFill="1" applyBorder="1" applyAlignment="1">
      <alignment horizontal="center"/>
    </xf>
    <xf numFmtId="2" fontId="38" fillId="0" borderId="12" xfId="0" applyNumberFormat="1" applyFont="1" applyBorder="1" applyAlignment="1">
      <alignment horizontal="right"/>
    </xf>
    <xf numFmtId="0" fontId="37" fillId="0" borderId="10" xfId="0" applyNumberFormat="1" applyFont="1" applyBorder="1" applyAlignment="1">
      <alignment vertical="center" wrapText="1"/>
    </xf>
    <xf numFmtId="181" fontId="40" fillId="0" borderId="20" xfId="0" applyNumberFormat="1" applyFont="1" applyFill="1" applyBorder="1" applyAlignment="1">
      <alignment horizontal="center"/>
    </xf>
    <xf numFmtId="2" fontId="38" fillId="0" borderId="20" xfId="0" applyNumberFormat="1" applyFont="1" applyBorder="1" applyAlignment="1">
      <alignment horizontal="right"/>
    </xf>
    <xf numFmtId="0" fontId="37" fillId="0" borderId="10" xfId="0" applyFont="1" applyFill="1" applyBorder="1" applyAlignment="1">
      <alignment vertical="center" wrapText="1"/>
    </xf>
    <xf numFmtId="0" fontId="40" fillId="0" borderId="10" xfId="0" applyFont="1" applyBorder="1" applyAlignment="1">
      <alignment horizontal="center" wrapText="1"/>
    </xf>
    <xf numFmtId="181" fontId="40" fillId="0" borderId="10" xfId="0" applyNumberFormat="1" applyFont="1" applyBorder="1" applyAlignment="1">
      <alignment/>
    </xf>
    <xf numFmtId="181" fontId="37" fillId="0" borderId="10" xfId="0" applyNumberFormat="1" applyFont="1" applyBorder="1" applyAlignment="1">
      <alignment/>
    </xf>
    <xf numFmtId="181" fontId="37" fillId="0" borderId="10" xfId="0" applyNumberFormat="1" applyFont="1" applyBorder="1" applyAlignment="1">
      <alignment horizontal="center"/>
    </xf>
    <xf numFmtId="189" fontId="38" fillId="0" borderId="10" xfId="0" applyNumberFormat="1" applyFont="1" applyBorder="1" applyAlignment="1">
      <alignment/>
    </xf>
    <xf numFmtId="189" fontId="38" fillId="0" borderId="11" xfId="0" applyNumberFormat="1" applyFont="1" applyBorder="1" applyAlignment="1">
      <alignment horizontal="right"/>
    </xf>
    <xf numFmtId="189" fontId="38" fillId="0" borderId="12" xfId="0" applyNumberFormat="1" applyFont="1" applyBorder="1" applyAlignment="1">
      <alignment horizontal="right"/>
    </xf>
    <xf numFmtId="189" fontId="38" fillId="0" borderId="20" xfId="0" applyNumberFormat="1" applyFont="1" applyBorder="1" applyAlignment="1">
      <alignment horizontal="right"/>
    </xf>
    <xf numFmtId="189" fontId="40" fillId="0" borderId="10" xfId="0" applyNumberFormat="1" applyFont="1" applyBorder="1" applyAlignment="1">
      <alignment horizontal="center"/>
    </xf>
    <xf numFmtId="189" fontId="40" fillId="0" borderId="10" xfId="0" applyNumberFormat="1" applyFont="1" applyFill="1" applyBorder="1" applyAlignment="1">
      <alignment horizontal="center"/>
    </xf>
    <xf numFmtId="189" fontId="37" fillId="0" borderId="10" xfId="0" applyNumberFormat="1" applyFont="1" applyFill="1" applyBorder="1" applyAlignment="1">
      <alignment horizontal="left" vertical="top" wrapText="1"/>
    </xf>
    <xf numFmtId="189" fontId="37" fillId="0" borderId="10" xfId="0" applyNumberFormat="1" applyFont="1" applyBorder="1" applyAlignment="1">
      <alignment horizontal="center"/>
    </xf>
    <xf numFmtId="2" fontId="38" fillId="0" borderId="10" xfId="0" applyNumberFormat="1" applyFont="1" applyFill="1" applyBorder="1" applyAlignment="1">
      <alignment/>
    </xf>
    <xf numFmtId="0" fontId="37" fillId="20" borderId="10" xfId="0" applyFont="1" applyFill="1" applyBorder="1" applyAlignment="1">
      <alignment vertical="center" wrapText="1"/>
    </xf>
    <xf numFmtId="0" fontId="40" fillId="20" borderId="10" xfId="0" applyFont="1" applyFill="1" applyBorder="1" applyAlignment="1">
      <alignment horizontal="center"/>
    </xf>
    <xf numFmtId="2" fontId="40" fillId="20" borderId="10" xfId="0" applyNumberFormat="1" applyFont="1" applyFill="1" applyBorder="1" applyAlignment="1">
      <alignment horizontal="center" wrapText="1"/>
    </xf>
    <xf numFmtId="2" fontId="38" fillId="20" borderId="10" xfId="0" applyNumberFormat="1" applyFont="1" applyFill="1" applyBorder="1" applyAlignment="1">
      <alignment/>
    </xf>
    <xf numFmtId="0" fontId="43" fillId="0" borderId="0" xfId="0" applyFont="1" applyAlignment="1">
      <alignment/>
    </xf>
    <xf numFmtId="181" fontId="43" fillId="0" borderId="0" xfId="0" applyNumberFormat="1" applyFont="1" applyAlignment="1">
      <alignment/>
    </xf>
    <xf numFmtId="0" fontId="40" fillId="0" borderId="10" xfId="0" applyFont="1" applyFill="1" applyBorder="1" applyAlignment="1">
      <alignment horizontal="center"/>
    </xf>
    <xf numFmtId="189" fontId="40" fillId="0" borderId="10" xfId="0" applyNumberFormat="1" applyFont="1" applyFill="1" applyBorder="1" applyAlignment="1">
      <alignment horizontal="center" wrapText="1"/>
    </xf>
    <xf numFmtId="181" fontId="40" fillId="0" borderId="10" xfId="0" applyNumberFormat="1" applyFont="1" applyFill="1" applyBorder="1" applyAlignment="1">
      <alignment horizontal="center" wrapText="1"/>
    </xf>
    <xf numFmtId="181" fontId="37" fillId="0" borderId="20" xfId="0" applyNumberFormat="1" applyFont="1" applyBorder="1" applyAlignment="1">
      <alignment horizontal="center" vertical="center" wrapText="1"/>
    </xf>
    <xf numFmtId="189" fontId="38" fillId="0" borderId="10" xfId="0" applyNumberFormat="1" applyFont="1" applyFill="1" applyBorder="1" applyAlignment="1">
      <alignment/>
    </xf>
    <xf numFmtId="2" fontId="40" fillId="0" borderId="10" xfId="0" applyNumberFormat="1" applyFont="1" applyFill="1" applyBorder="1" applyAlignment="1">
      <alignment horizontal="center"/>
    </xf>
    <xf numFmtId="2" fontId="40" fillId="0" borderId="10" xfId="0" applyNumberFormat="1" applyFont="1" applyBorder="1" applyAlignment="1">
      <alignment horizontal="center"/>
    </xf>
    <xf numFmtId="0" fontId="44" fillId="22" borderId="10" xfId="0" applyFont="1" applyFill="1" applyBorder="1" applyAlignment="1">
      <alignment vertical="center" wrapText="1"/>
    </xf>
    <xf numFmtId="49" fontId="45" fillId="22" borderId="10" xfId="0" applyNumberFormat="1" applyFont="1" applyFill="1" applyBorder="1" applyAlignment="1">
      <alignment horizontal="center" wrapText="1"/>
    </xf>
    <xf numFmtId="181" fontId="45" fillId="22" borderId="10" xfId="0" applyNumberFormat="1" applyFont="1" applyFill="1" applyBorder="1" applyAlignment="1">
      <alignment horizontal="center"/>
    </xf>
    <xf numFmtId="2" fontId="45" fillId="22" borderId="10" xfId="0" applyNumberFormat="1" applyFont="1" applyFill="1" applyBorder="1" applyAlignment="1">
      <alignment horizontal="center"/>
    </xf>
    <xf numFmtId="2" fontId="46" fillId="22" borderId="10" xfId="0" applyNumberFormat="1" applyFont="1" applyFill="1" applyBorder="1" applyAlignment="1">
      <alignment/>
    </xf>
    <xf numFmtId="0" fontId="39" fillId="0" borderId="0" xfId="0" applyFont="1" applyFill="1" applyAlignment="1">
      <alignment/>
    </xf>
    <xf numFmtId="49" fontId="44" fillId="22" borderId="10" xfId="0" applyNumberFormat="1" applyFont="1" applyFill="1" applyBorder="1" applyAlignment="1">
      <alignment horizontal="center" wrapText="1"/>
    </xf>
    <xf numFmtId="181" fontId="44" fillId="22" borderId="10" xfId="0" applyNumberFormat="1" applyFont="1" applyFill="1" applyBorder="1" applyAlignment="1">
      <alignment horizontal="center"/>
    </xf>
    <xf numFmtId="2" fontId="44" fillId="22" borderId="10" xfId="0" applyNumberFormat="1" applyFont="1" applyFill="1" applyBorder="1" applyAlignment="1">
      <alignment horizontal="center"/>
    </xf>
    <xf numFmtId="0" fontId="47" fillId="0" borderId="0" xfId="0" applyFont="1" applyFill="1" applyAlignment="1">
      <alignment/>
    </xf>
    <xf numFmtId="189" fontId="48" fillId="0" borderId="0" xfId="0" applyNumberFormat="1" applyFont="1" applyAlignment="1">
      <alignment/>
    </xf>
    <xf numFmtId="2" fontId="38" fillId="0" borderId="10" xfId="0" applyNumberFormat="1" applyFont="1" applyFill="1" applyBorder="1" applyAlignment="1">
      <alignment/>
    </xf>
    <xf numFmtId="189" fontId="43" fillId="0" borderId="0" xfId="0" applyNumberFormat="1" applyFont="1" applyFill="1" applyAlignment="1">
      <alignment/>
    </xf>
    <xf numFmtId="0" fontId="37" fillId="0" borderId="10" xfId="0" applyFont="1" applyFill="1" applyBorder="1" applyAlignment="1">
      <alignment horizontal="left" vertical="center" wrapText="1"/>
    </xf>
    <xf numFmtId="189" fontId="43" fillId="0" borderId="0" xfId="0" applyNumberFormat="1" applyFont="1" applyAlignment="1">
      <alignment/>
    </xf>
    <xf numFmtId="0" fontId="37" fillId="0" borderId="24" xfId="0" applyFont="1" applyFill="1" applyBorder="1" applyAlignment="1">
      <alignment vertical="center" wrapText="1"/>
    </xf>
    <xf numFmtId="0" fontId="40" fillId="20" borderId="25" xfId="0" applyFont="1" applyFill="1" applyBorder="1" applyAlignment="1">
      <alignment vertical="center" wrapText="1"/>
    </xf>
    <xf numFmtId="2" fontId="40" fillId="20" borderId="10" xfId="0" applyNumberFormat="1" applyFont="1" applyFill="1" applyBorder="1" applyAlignment="1">
      <alignment vertical="center" wrapText="1"/>
    </xf>
    <xf numFmtId="2" fontId="40" fillId="20" borderId="10" xfId="0" applyNumberFormat="1" applyFont="1" applyFill="1" applyBorder="1" applyAlignment="1">
      <alignment horizontal="center"/>
    </xf>
    <xf numFmtId="181" fontId="40" fillId="20" borderId="10" xfId="0" applyNumberFormat="1" applyFont="1" applyFill="1" applyBorder="1" applyAlignment="1">
      <alignment horizontal="center"/>
    </xf>
    <xf numFmtId="0" fontId="37" fillId="0" borderId="0" xfId="0" applyFont="1" applyAlignment="1">
      <alignment/>
    </xf>
    <xf numFmtId="2" fontId="39" fillId="0" borderId="0" xfId="0" applyNumberFormat="1" applyFont="1" applyAlignment="1">
      <alignment/>
    </xf>
    <xf numFmtId="181" fontId="39" fillId="0" borderId="0" xfId="0" applyNumberFormat="1" applyFont="1" applyAlignment="1">
      <alignment/>
    </xf>
    <xf numFmtId="181" fontId="39" fillId="0" borderId="0" xfId="0" applyNumberFormat="1" applyFont="1" applyFill="1" applyAlignment="1">
      <alignment/>
    </xf>
    <xf numFmtId="2" fontId="39" fillId="0" borderId="0" xfId="0" applyNumberFormat="1" applyFont="1" applyFill="1" applyAlignment="1">
      <alignment/>
    </xf>
    <xf numFmtId="0" fontId="35" fillId="0" borderId="0" xfId="0" applyFont="1" applyAlignment="1">
      <alignment/>
    </xf>
    <xf numFmtId="189" fontId="35" fillId="0" borderId="0" xfId="0" applyNumberFormat="1" applyFont="1" applyAlignment="1">
      <alignment horizontal="right"/>
    </xf>
    <xf numFmtId="0" fontId="37" fillId="0" borderId="0" xfId="0" applyFont="1" applyFill="1" applyAlignment="1">
      <alignment/>
    </xf>
    <xf numFmtId="189" fontId="35" fillId="0" borderId="0" xfId="0" applyNumberFormat="1" applyFont="1" applyAlignment="1">
      <alignment/>
    </xf>
    <xf numFmtId="189" fontId="49" fillId="0" borderId="0" xfId="0" applyNumberFormat="1" applyFont="1" applyAlignment="1">
      <alignment/>
    </xf>
    <xf numFmtId="192" fontId="50" fillId="0" borderId="0" xfId="0" applyNumberFormat="1" applyFont="1" applyAlignment="1">
      <alignment horizontal="left"/>
    </xf>
    <xf numFmtId="189" fontId="40" fillId="0" borderId="14" xfId="0" applyNumberFormat="1" applyFont="1" applyBorder="1" applyAlignment="1">
      <alignment horizontal="center" vertical="center"/>
    </xf>
    <xf numFmtId="189" fontId="40" fillId="0" borderId="14" xfId="0" applyNumberFormat="1" applyFont="1" applyBorder="1" applyAlignment="1">
      <alignment horizontal="center" vertical="center" wrapText="1"/>
    </xf>
    <xf numFmtId="0" fontId="40" fillId="20" borderId="26" xfId="0" applyFont="1" applyFill="1" applyBorder="1" applyAlignment="1">
      <alignment horizontal="center" vertical="center" wrapText="1"/>
    </xf>
    <xf numFmtId="0" fontId="40" fillId="20" borderId="26" xfId="0" applyFont="1" applyFill="1" applyBorder="1" applyAlignment="1">
      <alignment horizontal="left" vertical="center" wrapText="1"/>
    </xf>
    <xf numFmtId="0" fontId="37" fillId="20" borderId="26" xfId="0" applyFont="1" applyFill="1" applyBorder="1" applyAlignment="1">
      <alignment horizontal="center" vertical="center" wrapText="1"/>
    </xf>
    <xf numFmtId="2" fontId="40" fillId="20" borderId="26" xfId="0" applyNumberFormat="1" applyFont="1" applyFill="1" applyBorder="1" applyAlignment="1">
      <alignment horizontal="center" vertical="center" wrapText="1"/>
    </xf>
    <xf numFmtId="2" fontId="40" fillId="20" borderId="14" xfId="0" applyNumberFormat="1" applyFont="1" applyFill="1" applyBorder="1" applyAlignment="1">
      <alignment horizontal="center" vertical="center" wrapText="1"/>
    </xf>
    <xf numFmtId="189" fontId="51" fillId="0" borderId="0" xfId="0" applyNumberFormat="1"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0" fontId="37" fillId="0" borderId="10" xfId="0" applyFont="1" applyFill="1" applyBorder="1" applyAlignment="1">
      <alignment horizontal="center" vertical="center" wrapText="1"/>
    </xf>
    <xf numFmtId="2" fontId="37" fillId="0" borderId="10" xfId="0" applyNumberFormat="1" applyFont="1" applyFill="1" applyBorder="1" applyAlignment="1">
      <alignment horizontal="center" vertical="center" wrapText="1"/>
    </xf>
    <xf numFmtId="2" fontId="37" fillId="0" borderId="27" xfId="0" applyNumberFormat="1" applyFont="1" applyBorder="1" applyAlignment="1">
      <alignment horizontal="center" vertical="center" wrapText="1"/>
    </xf>
    <xf numFmtId="181" fontId="35" fillId="0" borderId="0" xfId="0" applyNumberFormat="1" applyFont="1" applyAlignment="1">
      <alignment/>
    </xf>
    <xf numFmtId="2" fontId="37" fillId="0" borderId="28" xfId="0" applyNumberFormat="1" applyFont="1" applyBorder="1" applyAlignment="1">
      <alignment horizontal="center" vertical="center" wrapText="1"/>
    </xf>
    <xf numFmtId="2" fontId="37" fillId="0" borderId="10" xfId="0" applyNumberFormat="1" applyFont="1" applyFill="1" applyBorder="1" applyAlignment="1">
      <alignment vertical="center" wrapText="1"/>
    </xf>
    <xf numFmtId="2" fontId="37" fillId="0" borderId="10" xfId="0" applyNumberFormat="1" applyFont="1" applyBorder="1" applyAlignment="1">
      <alignment horizontal="center" vertical="center" wrapText="1"/>
    </xf>
    <xf numFmtId="2" fontId="37" fillId="0" borderId="11" xfId="0" applyNumberFormat="1" applyFont="1" applyFill="1" applyBorder="1" applyAlignment="1">
      <alignment horizontal="center" vertical="center" wrapText="1"/>
    </xf>
    <xf numFmtId="2" fontId="37" fillId="0" borderId="29" xfId="0" applyNumberFormat="1" applyFont="1" applyBorder="1" applyAlignment="1">
      <alignment horizontal="center" vertical="center" wrapText="1"/>
    </xf>
    <xf numFmtId="0" fontId="42" fillId="0" borderId="10" xfId="0" applyFont="1" applyBorder="1" applyAlignment="1">
      <alignment vertical="center" wrapText="1"/>
    </xf>
    <xf numFmtId="0" fontId="40" fillId="20" borderId="25" xfId="0" applyFont="1" applyFill="1" applyBorder="1" applyAlignment="1">
      <alignment horizontal="center" vertical="center" wrapText="1"/>
    </xf>
    <xf numFmtId="0" fontId="40" fillId="20" borderId="25" xfId="0" applyFont="1" applyFill="1" applyBorder="1" applyAlignment="1">
      <alignment horizontal="left" vertical="center" wrapText="1"/>
    </xf>
    <xf numFmtId="0" fontId="37" fillId="20" borderId="25" xfId="0" applyFont="1" applyFill="1" applyBorder="1" applyAlignment="1">
      <alignment horizontal="center" vertical="center" wrapText="1"/>
    </xf>
    <xf numFmtId="2" fontId="40" fillId="20" borderId="25"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top"/>
    </xf>
    <xf numFmtId="0" fontId="37" fillId="0" borderId="10" xfId="0" applyFont="1" applyFill="1" applyBorder="1" applyAlignment="1">
      <alignment vertical="top" wrapText="1"/>
    </xf>
    <xf numFmtId="189" fontId="37" fillId="0" borderId="10" xfId="0" applyNumberFormat="1" applyFont="1" applyFill="1" applyBorder="1" applyAlignment="1">
      <alignment vertical="top" wrapText="1"/>
    </xf>
    <xf numFmtId="0" fontId="40" fillId="20" borderId="10" xfId="0" applyFont="1" applyFill="1" applyBorder="1" applyAlignment="1">
      <alignment horizontal="center" vertical="center" wrapText="1"/>
    </xf>
    <xf numFmtId="0" fontId="40" fillId="20" borderId="10" xfId="0" applyFont="1" applyFill="1" applyBorder="1" applyAlignment="1">
      <alignment vertical="center" wrapText="1"/>
    </xf>
    <xf numFmtId="0" fontId="37" fillId="20" borderId="10" xfId="0" applyFont="1" applyFill="1" applyBorder="1" applyAlignment="1">
      <alignment horizontal="center" vertical="center" wrapText="1"/>
    </xf>
    <xf numFmtId="2" fontId="40" fillId="20" borderId="10" xfId="0" applyNumberFormat="1" applyFont="1" applyFill="1" applyBorder="1" applyAlignment="1">
      <alignment horizontal="center" vertical="center" wrapText="1"/>
    </xf>
    <xf numFmtId="181" fontId="51" fillId="0" borderId="0" xfId="0" applyNumberFormat="1" applyFont="1" applyAlignment="1">
      <alignment/>
    </xf>
    <xf numFmtId="0" fontId="37" fillId="0" borderId="10" xfId="0" applyFont="1" applyFill="1" applyBorder="1" applyAlignment="1">
      <alignment horizontal="center" vertical="center"/>
    </xf>
    <xf numFmtId="2" fontId="39" fillId="20" borderId="10" xfId="0" applyNumberFormat="1" applyFont="1" applyFill="1" applyBorder="1" applyAlignment="1">
      <alignment/>
    </xf>
    <xf numFmtId="2" fontId="39" fillId="0" borderId="10" xfId="0" applyNumberFormat="1" applyFont="1" applyBorder="1" applyAlignment="1">
      <alignment/>
    </xf>
    <xf numFmtId="0" fontId="40" fillId="20" borderId="10" xfId="0" applyFont="1" applyFill="1" applyBorder="1" applyAlignment="1">
      <alignment vertical="top" wrapText="1"/>
    </xf>
    <xf numFmtId="2" fontId="37" fillId="20" borderId="10" xfId="0" applyNumberFormat="1" applyFont="1" applyFill="1" applyBorder="1" applyAlignment="1">
      <alignment vertical="center" wrapText="1"/>
    </xf>
    <xf numFmtId="2" fontId="40" fillId="0" borderId="10" xfId="0" applyNumberFormat="1" applyFont="1" applyFill="1" applyBorder="1" applyAlignment="1">
      <alignment horizontal="center" vertical="center" wrapText="1"/>
    </xf>
    <xf numFmtId="0" fontId="35" fillId="0" borderId="0" xfId="0" applyFont="1" applyFill="1" applyAlignment="1">
      <alignment/>
    </xf>
    <xf numFmtId="2" fontId="37" fillId="0" borderId="11" xfId="0" applyNumberFormat="1" applyFont="1" applyFill="1" applyBorder="1" applyAlignment="1">
      <alignment vertical="center" wrapText="1"/>
    </xf>
    <xf numFmtId="0" fontId="40" fillId="20" borderId="10" xfId="0" applyFont="1" applyFill="1" applyBorder="1" applyAlignment="1">
      <alignment horizontal="center" vertical="center"/>
    </xf>
    <xf numFmtId="2" fontId="40" fillId="20" borderId="10" xfId="0" applyNumberFormat="1" applyFont="1" applyFill="1" applyBorder="1" applyAlignment="1">
      <alignment horizontal="center" vertical="center"/>
    </xf>
    <xf numFmtId="0" fontId="37" fillId="0" borderId="10" xfId="0" applyFont="1" applyBorder="1" applyAlignment="1">
      <alignment horizontal="center" vertical="center"/>
    </xf>
    <xf numFmtId="2" fontId="37" fillId="0" borderId="10" xfId="0" applyNumberFormat="1" applyFont="1" applyFill="1" applyBorder="1" applyAlignment="1">
      <alignment horizontal="center" vertical="center"/>
    </xf>
    <xf numFmtId="2" fontId="37" fillId="0" borderId="10" xfId="0" applyNumberFormat="1" applyFont="1" applyBorder="1" applyAlignment="1">
      <alignment horizontal="center" vertical="center"/>
    </xf>
    <xf numFmtId="0" fontId="49" fillId="0" borderId="10" xfId="0" applyFont="1" applyBorder="1" applyAlignment="1">
      <alignment/>
    </xf>
    <xf numFmtId="2" fontId="40" fillId="0" borderId="10" xfId="0" applyNumberFormat="1" applyFont="1" applyFill="1" applyBorder="1" applyAlignment="1">
      <alignment horizontal="center" vertical="center"/>
    </xf>
    <xf numFmtId="0" fontId="37" fillId="20" borderId="10" xfId="0" applyFont="1" applyFill="1" applyBorder="1" applyAlignment="1">
      <alignment horizontal="center" vertical="center"/>
    </xf>
    <xf numFmtId="2" fontId="40" fillId="20" borderId="10" xfId="0" applyNumberFormat="1" applyFont="1" applyFill="1" applyBorder="1" applyAlignment="1">
      <alignment/>
    </xf>
    <xf numFmtId="189" fontId="37" fillId="0" borderId="10" xfId="0" applyNumberFormat="1" applyFont="1" applyFill="1" applyBorder="1" applyAlignment="1">
      <alignment horizontal="left" vertical="center" wrapText="1"/>
    </xf>
    <xf numFmtId="0" fontId="40" fillId="0" borderId="10" xfId="0" applyFont="1" applyFill="1" applyBorder="1" applyAlignment="1">
      <alignment horizontal="center" vertical="center" wrapText="1"/>
    </xf>
    <xf numFmtId="2" fontId="37" fillId="0" borderId="10" xfId="0" applyNumberFormat="1" applyFont="1" applyFill="1" applyBorder="1" applyAlignment="1">
      <alignment vertical="center"/>
    </xf>
    <xf numFmtId="2" fontId="37" fillId="0" borderId="10" xfId="0" applyNumberFormat="1" applyFont="1" applyBorder="1" applyAlignment="1">
      <alignment horizontal="right" vertical="center" wrapText="1"/>
    </xf>
    <xf numFmtId="0" fontId="37" fillId="0" borderId="15" xfId="0" applyNumberFormat="1" applyFont="1" applyFill="1" applyBorder="1" applyAlignment="1">
      <alignment horizontal="right" vertical="top"/>
    </xf>
    <xf numFmtId="189" fontId="37" fillId="0" borderId="14" xfId="0" applyNumberFormat="1" applyFont="1" applyFill="1" applyBorder="1" applyAlignment="1">
      <alignment vertical="justify" wrapText="1"/>
    </xf>
    <xf numFmtId="2" fontId="37" fillId="0" borderId="10" xfId="0" applyNumberFormat="1" applyFont="1" applyBorder="1" applyAlignment="1">
      <alignment vertical="center"/>
    </xf>
    <xf numFmtId="2" fontId="37" fillId="0" borderId="10" xfId="0" applyNumberFormat="1" applyFont="1" applyFill="1" applyBorder="1" applyAlignment="1">
      <alignment horizontal="left" vertical="center" wrapText="1"/>
    </xf>
    <xf numFmtId="2" fontId="40" fillId="20" borderId="10" xfId="0" applyNumberFormat="1" applyFont="1" applyFill="1" applyBorder="1" applyAlignment="1">
      <alignment horizontal="right"/>
    </xf>
    <xf numFmtId="2" fontId="37" fillId="0" borderId="10" xfId="0" applyNumberFormat="1" applyFont="1" applyBorder="1" applyAlignment="1">
      <alignment/>
    </xf>
    <xf numFmtId="0" fontId="42" fillId="0" borderId="10" xfId="0" applyFont="1" applyBorder="1" applyAlignment="1">
      <alignment horizontal="left" vertical="center" wrapText="1"/>
    </xf>
    <xf numFmtId="0" fontId="40" fillId="20" borderId="10" xfId="0" applyFont="1" applyFill="1" applyBorder="1" applyAlignment="1">
      <alignment horizontal="left" vertical="center" wrapText="1"/>
    </xf>
    <xf numFmtId="0" fontId="40" fillId="20" borderId="10" xfId="0" applyFont="1" applyFill="1" applyBorder="1" applyAlignment="1">
      <alignment horizontal="center" vertical="top"/>
    </xf>
    <xf numFmtId="0" fontId="40" fillId="20" borderId="10" xfId="0" applyFont="1" applyFill="1" applyBorder="1" applyAlignment="1">
      <alignment horizontal="left" vertical="top" wrapText="1"/>
    </xf>
    <xf numFmtId="2" fontId="37" fillId="0" borderId="10" xfId="0" applyNumberFormat="1" applyFont="1" applyFill="1" applyBorder="1" applyAlignment="1">
      <alignment horizontal="centerContinuous" wrapText="1"/>
    </xf>
    <xf numFmtId="2" fontId="37" fillId="0" borderId="10" xfId="0" applyNumberFormat="1" applyFont="1" applyFill="1" applyBorder="1" applyAlignment="1">
      <alignment wrapText="1"/>
    </xf>
    <xf numFmtId="2" fontId="37" fillId="0" borderId="10" xfId="0" applyNumberFormat="1" applyFont="1" applyBorder="1" applyAlignment="1">
      <alignment horizontal="centerContinuous" wrapText="1"/>
    </xf>
    <xf numFmtId="2" fontId="37" fillId="0" borderId="10" xfId="0" applyNumberFormat="1" applyFont="1" applyBorder="1" applyAlignment="1">
      <alignment wrapText="1"/>
    </xf>
    <xf numFmtId="189" fontId="51" fillId="0" borderId="0" xfId="0" applyNumberFormat="1" applyFont="1" applyAlignment="1">
      <alignment horizontal="right"/>
    </xf>
    <xf numFmtId="0" fontId="51" fillId="0" borderId="0" xfId="0" applyFont="1" applyAlignment="1">
      <alignment/>
    </xf>
    <xf numFmtId="0" fontId="53" fillId="0" borderId="0" xfId="0" applyFont="1" applyFill="1" applyAlignment="1">
      <alignment/>
    </xf>
    <xf numFmtId="0" fontId="0" fillId="0" borderId="0" xfId="0" applyFont="1" applyAlignment="1">
      <alignment/>
    </xf>
    <xf numFmtId="0" fontId="55" fillId="0" borderId="0" xfId="0" applyFont="1" applyAlignment="1">
      <alignment/>
    </xf>
    <xf numFmtId="0" fontId="0" fillId="0" borderId="0" xfId="0" applyFont="1" applyAlignment="1">
      <alignment wrapText="1"/>
    </xf>
    <xf numFmtId="0" fontId="0" fillId="0" borderId="0" xfId="0" applyFont="1" applyAlignment="1">
      <alignment vertical="center"/>
    </xf>
    <xf numFmtId="192" fontId="0" fillId="0" borderId="0" xfId="0" applyNumberFormat="1" applyFont="1" applyAlignment="1">
      <alignment/>
    </xf>
    <xf numFmtId="0" fontId="0" fillId="0" borderId="0" xfId="0" applyFont="1" applyAlignment="1">
      <alignment/>
    </xf>
    <xf numFmtId="0" fontId="56" fillId="0" borderId="0" xfId="0" applyFont="1" applyAlignment="1">
      <alignment wrapText="1"/>
    </xf>
    <xf numFmtId="0" fontId="56" fillId="0" borderId="0" xfId="0" applyFont="1" applyAlignment="1">
      <alignment vertical="center"/>
    </xf>
    <xf numFmtId="192" fontId="56" fillId="0" borderId="0" xfId="0" applyNumberFormat="1" applyFont="1" applyAlignment="1">
      <alignment/>
    </xf>
    <xf numFmtId="0" fontId="57" fillId="0" borderId="0" xfId="0" applyFont="1" applyAlignment="1">
      <alignment horizontal="left"/>
    </xf>
    <xf numFmtId="192" fontId="0" fillId="0" borderId="0" xfId="0" applyNumberFormat="1" applyFont="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vertical="center"/>
    </xf>
    <xf numFmtId="192" fontId="0" fillId="0" borderId="0" xfId="0" applyNumberFormat="1" applyFont="1" applyBorder="1" applyAlignment="1">
      <alignment/>
    </xf>
    <xf numFmtId="192" fontId="59" fillId="0" borderId="10" xfId="0" applyNumberFormat="1" applyFont="1" applyBorder="1" applyAlignment="1">
      <alignment vertical="center" wrapText="1"/>
    </xf>
    <xf numFmtId="0" fontId="61" fillId="0" borderId="10" xfId="0" applyFont="1" applyBorder="1" applyAlignment="1">
      <alignment wrapText="1"/>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0" fontId="61" fillId="0" borderId="10" xfId="0" applyFont="1" applyFill="1" applyBorder="1" applyAlignment="1">
      <alignment wrapText="1"/>
    </xf>
    <xf numFmtId="0" fontId="0" fillId="0" borderId="10" xfId="0" applyFont="1" applyFill="1" applyBorder="1" applyAlignment="1">
      <alignment horizontal="right" vertical="center"/>
    </xf>
    <xf numFmtId="4" fontId="0" fillId="0" borderId="10" xfId="0" applyNumberFormat="1" applyFont="1" applyFill="1" applyBorder="1" applyAlignment="1">
      <alignment horizontal="right" vertical="center"/>
    </xf>
    <xf numFmtId="0" fontId="0" fillId="0" borderId="0" xfId="0" applyFont="1" applyFill="1" applyAlignment="1">
      <alignment/>
    </xf>
    <xf numFmtId="0" fontId="60" fillId="0" borderId="10" xfId="0" applyFont="1" applyBorder="1" applyAlignment="1">
      <alignment wrapText="1"/>
    </xf>
    <xf numFmtId="181" fontId="0" fillId="0" borderId="0" xfId="0" applyNumberFormat="1" applyFont="1" applyAlignment="1">
      <alignment/>
    </xf>
    <xf numFmtId="0" fontId="61" fillId="0" borderId="10" xfId="53" applyFont="1" applyBorder="1" applyAlignment="1">
      <alignment wrapText="1"/>
      <protection/>
    </xf>
    <xf numFmtId="0" fontId="61" fillId="0" borderId="10" xfId="0" applyFont="1" applyBorder="1" applyAlignment="1" applyProtection="1">
      <alignment vertical="top" wrapText="1"/>
      <protection locked="0"/>
    </xf>
    <xf numFmtId="0" fontId="61" fillId="0" borderId="10" xfId="0" applyNumberFormat="1" applyFont="1" applyBorder="1" applyAlignment="1">
      <alignment vertical="center" wrapText="1"/>
    </xf>
    <xf numFmtId="49" fontId="0" fillId="0" borderId="10" xfId="0" applyNumberFormat="1" applyFont="1" applyBorder="1" applyAlignment="1">
      <alignment horizontal="right" vertical="center"/>
    </xf>
    <xf numFmtId="0" fontId="61" fillId="0" borderId="10" xfId="0" applyNumberFormat="1" applyFont="1" applyFill="1" applyBorder="1" applyAlignment="1">
      <alignment vertical="center" wrapText="1"/>
    </xf>
    <xf numFmtId="49" fontId="0" fillId="0" borderId="10" xfId="0" applyNumberFormat="1" applyFont="1" applyFill="1" applyBorder="1" applyAlignment="1">
      <alignment horizontal="right" vertical="center"/>
    </xf>
    <xf numFmtId="49" fontId="61" fillId="0" borderId="10" xfId="0" applyNumberFormat="1" applyFont="1" applyBorder="1" applyAlignment="1">
      <alignment vertical="center" wrapText="1"/>
    </xf>
    <xf numFmtId="1" fontId="0" fillId="0" borderId="10" xfId="0" applyNumberFormat="1" applyFont="1" applyBorder="1" applyAlignment="1">
      <alignment horizontal="right" vertical="center"/>
    </xf>
    <xf numFmtId="49" fontId="61" fillId="0" borderId="10" xfId="0" applyNumberFormat="1" applyFont="1" applyFill="1" applyBorder="1" applyAlignment="1">
      <alignment vertical="center" wrapText="1"/>
    </xf>
    <xf numFmtId="181" fontId="0" fillId="0" borderId="10" xfId="0" applyNumberFormat="1" applyFont="1" applyBorder="1" applyAlignment="1">
      <alignment horizontal="right" vertical="center"/>
    </xf>
    <xf numFmtId="0" fontId="0" fillId="0" borderId="10" xfId="0" applyFont="1" applyBorder="1" applyAlignment="1">
      <alignment wrapText="1"/>
    </xf>
    <xf numFmtId="0" fontId="60" fillId="0" borderId="10" xfId="0" applyFont="1" applyBorder="1" applyAlignment="1">
      <alignment/>
    </xf>
    <xf numFmtId="0" fontId="61" fillId="0" borderId="0" xfId="0" applyFont="1" applyAlignment="1">
      <alignment wrapText="1"/>
    </xf>
    <xf numFmtId="0" fontId="61" fillId="0" borderId="0" xfId="0" applyFont="1" applyAlignment="1">
      <alignment vertical="center"/>
    </xf>
    <xf numFmtId="192" fontId="61" fillId="0" borderId="0" xfId="0" applyNumberFormat="1" applyFont="1" applyAlignment="1">
      <alignment/>
    </xf>
    <xf numFmtId="0" fontId="62" fillId="0" borderId="0" xfId="0" applyFont="1" applyAlignment="1">
      <alignment/>
    </xf>
    <xf numFmtId="0" fontId="62" fillId="0" borderId="0" xfId="0" applyFont="1" applyAlignment="1">
      <alignment horizontal="right"/>
    </xf>
    <xf numFmtId="189" fontId="62" fillId="0" borderId="0" xfId="0" applyNumberFormat="1" applyFont="1" applyAlignment="1">
      <alignment/>
    </xf>
    <xf numFmtId="0" fontId="63" fillId="0" borderId="0" xfId="0" applyFont="1" applyAlignment="1">
      <alignment horizontal="right"/>
    </xf>
    <xf numFmtId="189" fontId="63" fillId="0" borderId="0" xfId="0" applyNumberFormat="1" applyFont="1" applyFill="1" applyAlignment="1">
      <alignment horizontal="right"/>
    </xf>
    <xf numFmtId="0" fontId="65" fillId="0" borderId="0" xfId="0" applyFont="1" applyAlignment="1">
      <alignment horizontal="center"/>
    </xf>
    <xf numFmtId="0" fontId="66" fillId="0" borderId="0" xfId="0" applyFont="1" applyAlignment="1">
      <alignment horizontal="center" vertical="top"/>
    </xf>
    <xf numFmtId="189" fontId="65" fillId="0" borderId="0" xfId="0" applyNumberFormat="1" applyFont="1" applyAlignment="1">
      <alignment horizontal="center"/>
    </xf>
    <xf numFmtId="189" fontId="53" fillId="0" borderId="0" xfId="0" applyNumberFormat="1" applyFont="1" applyBorder="1" applyAlignment="1">
      <alignment horizontal="right"/>
    </xf>
    <xf numFmtId="0" fontId="67" fillId="0" borderId="10" xfId="0" applyFont="1" applyBorder="1" applyAlignment="1">
      <alignment horizontal="center" wrapText="1"/>
    </xf>
    <xf numFmtId="0" fontId="68" fillId="0" borderId="10" xfId="0" applyFont="1" applyBorder="1" applyAlignment="1">
      <alignment horizontal="center" vertical="center" wrapText="1"/>
    </xf>
    <xf numFmtId="0" fontId="67" fillId="0" borderId="10" xfId="0" applyNumberFormat="1" applyFont="1" applyFill="1" applyBorder="1" applyAlignment="1">
      <alignment horizontal="center" vertical="center" wrapText="1"/>
    </xf>
    <xf numFmtId="0" fontId="65" fillId="0" borderId="22" xfId="0" applyNumberFormat="1" applyFont="1" applyFill="1" applyBorder="1" applyAlignment="1">
      <alignment horizontal="center" vertical="center"/>
    </xf>
    <xf numFmtId="0" fontId="63" fillId="0" borderId="30" xfId="0" applyFont="1" applyBorder="1" applyAlignment="1">
      <alignment horizontal="center"/>
    </xf>
    <xf numFmtId="0" fontId="65" fillId="0" borderId="10" xfId="0" applyNumberFormat="1" applyFont="1" applyFill="1" applyBorder="1" applyAlignment="1">
      <alignment horizontal="center" vertical="center"/>
    </xf>
    <xf numFmtId="0" fontId="63" fillId="0" borderId="10" xfId="0" applyFont="1" applyBorder="1" applyAlignment="1">
      <alignment horizontal="center"/>
    </xf>
    <xf numFmtId="0" fontId="64" fillId="20" borderId="14" xfId="0" applyNumberFormat="1" applyFont="1" applyFill="1" applyBorder="1" applyAlignment="1">
      <alignment horizontal="center" vertical="center"/>
    </xf>
    <xf numFmtId="0" fontId="64" fillId="20" borderId="31" xfId="0" applyFont="1" applyFill="1" applyBorder="1" applyAlignment="1">
      <alignment horizontal="center" vertical="center" wrapText="1"/>
    </xf>
    <xf numFmtId="0" fontId="68" fillId="20" borderId="10" xfId="0" applyFont="1" applyFill="1" applyBorder="1" applyAlignment="1">
      <alignment horizontal="center" vertical="center" wrapText="1"/>
    </xf>
    <xf numFmtId="2" fontId="64" fillId="20" borderId="10" xfId="0" applyNumberFormat="1" applyFont="1" applyFill="1" applyBorder="1" applyAlignment="1">
      <alignment horizontal="center" vertical="center"/>
    </xf>
    <xf numFmtId="0" fontId="65" fillId="0" borderId="0" xfId="0" applyFont="1" applyAlignment="1">
      <alignment/>
    </xf>
    <xf numFmtId="0" fontId="53" fillId="0" borderId="20" xfId="0" applyFont="1" applyFill="1" applyBorder="1" applyAlignment="1">
      <alignment horizontal="center" vertical="center"/>
    </xf>
    <xf numFmtId="0" fontId="53" fillId="0" borderId="19" xfId="0" applyFont="1" applyFill="1" applyBorder="1" applyAlignment="1">
      <alignment horizontal="center" vertical="center" wrapText="1"/>
    </xf>
    <xf numFmtId="0" fontId="53" fillId="0" borderId="10" xfId="0" applyFont="1" applyFill="1" applyBorder="1" applyAlignment="1">
      <alignment horizontal="left" vertical="center" wrapText="1"/>
    </xf>
    <xf numFmtId="2" fontId="53" fillId="0" borderId="10" xfId="0" applyNumberFormat="1" applyFont="1" applyFill="1" applyBorder="1" applyAlignment="1">
      <alignment horizontal="center" vertical="center"/>
    </xf>
    <xf numFmtId="0" fontId="69" fillId="0" borderId="0" xfId="0" applyFont="1" applyAlignment="1">
      <alignment/>
    </xf>
    <xf numFmtId="0" fontId="53" fillId="0" borderId="10" xfId="0" applyFont="1" applyFill="1" applyBorder="1" applyAlignment="1">
      <alignment horizontal="center" vertical="center" wrapText="1"/>
    </xf>
    <xf numFmtId="2" fontId="53" fillId="0" borderId="20" xfId="0" applyNumberFormat="1" applyFont="1" applyFill="1" applyBorder="1" applyAlignment="1">
      <alignment horizontal="center" vertical="center"/>
    </xf>
    <xf numFmtId="2" fontId="53" fillId="0" borderId="32" xfId="0" applyNumberFormat="1" applyFont="1" applyFill="1" applyBorder="1" applyAlignment="1">
      <alignment horizontal="center" vertical="center"/>
    </xf>
    <xf numFmtId="0" fontId="53" fillId="0" borderId="10" xfId="0" applyFont="1" applyFill="1" applyBorder="1" applyAlignment="1">
      <alignment horizontal="center" vertical="center"/>
    </xf>
    <xf numFmtId="2" fontId="53" fillId="0" borderId="19" xfId="0" applyNumberFormat="1" applyFont="1" applyFill="1" applyBorder="1" applyAlignment="1">
      <alignment horizontal="center" vertical="center"/>
    </xf>
    <xf numFmtId="2" fontId="70" fillId="0" borderId="10" xfId="0" applyNumberFormat="1" applyFont="1" applyFill="1" applyBorder="1" applyAlignment="1">
      <alignment horizontal="center" vertical="center"/>
    </xf>
    <xf numFmtId="2" fontId="70" fillId="0" borderId="19" xfId="0" applyNumberFormat="1" applyFont="1" applyFill="1" applyBorder="1" applyAlignment="1">
      <alignment horizontal="center" vertical="center"/>
    </xf>
    <xf numFmtId="0" fontId="53" fillId="0" borderId="10" xfId="0" applyFont="1" applyBorder="1" applyAlignment="1" quotePrefix="1">
      <alignment horizontal="center" vertical="center"/>
    </xf>
    <xf numFmtId="0" fontId="64" fillId="20" borderId="22" xfId="0" applyFont="1" applyFill="1" applyBorder="1" applyAlignment="1">
      <alignment horizontal="center" vertical="center"/>
    </xf>
    <xf numFmtId="0" fontId="64" fillId="20" borderId="22" xfId="0" applyFont="1" applyFill="1" applyBorder="1" applyAlignment="1">
      <alignment horizontal="center" vertical="center" wrapText="1"/>
    </xf>
    <xf numFmtId="0" fontId="53" fillId="20" borderId="22" xfId="0" applyFont="1" applyFill="1" applyBorder="1" applyAlignment="1">
      <alignment horizontal="center" vertical="center" wrapText="1"/>
    </xf>
    <xf numFmtId="2" fontId="64" fillId="20" borderId="20" xfId="0" applyNumberFormat="1" applyFont="1" applyFill="1" applyBorder="1" applyAlignment="1">
      <alignment horizontal="center" vertical="center"/>
    </xf>
    <xf numFmtId="0" fontId="53" fillId="0" borderId="20" xfId="0" applyFont="1" applyFill="1" applyBorder="1" applyAlignment="1">
      <alignment horizontal="left" vertical="center" wrapText="1"/>
    </xf>
    <xf numFmtId="2" fontId="71" fillId="0" borderId="10" xfId="0" applyNumberFormat="1" applyFont="1" applyFill="1" applyBorder="1" applyAlignment="1">
      <alignment horizontal="center" vertical="center"/>
    </xf>
    <xf numFmtId="2" fontId="70" fillId="0" borderId="20" xfId="0" applyNumberFormat="1" applyFont="1" applyFill="1" applyBorder="1" applyAlignment="1">
      <alignment horizontal="center" vertical="center"/>
    </xf>
    <xf numFmtId="0" fontId="53" fillId="20" borderId="20" xfId="0" applyFont="1" applyFill="1" applyBorder="1" applyAlignment="1">
      <alignment horizontal="left" vertical="center" wrapText="1"/>
    </xf>
    <xf numFmtId="189" fontId="53" fillId="0" borderId="10" xfId="0" applyNumberFormat="1" applyFont="1" applyFill="1" applyBorder="1" applyAlignment="1">
      <alignment horizontal="center" vertical="center" wrapText="1"/>
    </xf>
    <xf numFmtId="0" fontId="64" fillId="20" borderId="10" xfId="0" applyFont="1" applyFill="1" applyBorder="1" applyAlignment="1">
      <alignment horizontal="center" vertical="center"/>
    </xf>
    <xf numFmtId="0" fontId="64" fillId="20" borderId="10" xfId="0" applyFont="1" applyFill="1" applyBorder="1" applyAlignment="1">
      <alignment horizontal="center" vertical="center" wrapText="1"/>
    </xf>
    <xf numFmtId="0" fontId="53" fillId="20" borderId="10" xfId="0" applyFont="1" applyFill="1" applyBorder="1" applyAlignment="1">
      <alignment horizontal="left" vertical="center" wrapText="1"/>
    </xf>
    <xf numFmtId="49" fontId="53" fillId="0" borderId="10" xfId="0" applyNumberFormat="1" applyFont="1" applyFill="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70" fillId="0" borderId="10" xfId="0" applyFont="1" applyBorder="1" applyAlignment="1">
      <alignment horizontal="left" vertical="center" wrapText="1"/>
    </xf>
    <xf numFmtId="49" fontId="64" fillId="20" borderId="10" xfId="0" applyNumberFormat="1" applyFont="1" applyFill="1" applyBorder="1" applyAlignment="1">
      <alignment horizontal="center" vertical="center"/>
    </xf>
    <xf numFmtId="2" fontId="68" fillId="20" borderId="10" xfId="0" applyNumberFormat="1" applyFont="1" applyFill="1" applyBorder="1" applyAlignment="1">
      <alignment horizontal="center" vertical="center"/>
    </xf>
    <xf numFmtId="0" fontId="53" fillId="0" borderId="10" xfId="0" applyFont="1" applyBorder="1" applyAlignment="1">
      <alignment horizontal="left" vertical="center"/>
    </xf>
    <xf numFmtId="0" fontId="53" fillId="0" borderId="10" xfId="0" applyFont="1" applyBorder="1" applyAlignment="1">
      <alignment horizontal="left" vertical="center" wrapText="1"/>
    </xf>
    <xf numFmtId="0" fontId="68" fillId="0" borderId="10" xfId="0" applyFont="1" applyFill="1" applyBorder="1" applyAlignment="1">
      <alignment horizontal="center" vertical="center"/>
    </xf>
    <xf numFmtId="0" fontId="53" fillId="0" borderId="18" xfId="0" applyFont="1" applyBorder="1" applyAlignment="1">
      <alignment horizontal="center" vertical="center"/>
    </xf>
    <xf numFmtId="189" fontId="53" fillId="0" borderId="10" xfId="0" applyNumberFormat="1" applyFont="1" applyFill="1" applyBorder="1" applyAlignment="1">
      <alignment vertical="center" wrapText="1"/>
    </xf>
    <xf numFmtId="189" fontId="53" fillId="20" borderId="10" xfId="0" applyNumberFormat="1" applyFont="1" applyFill="1" applyBorder="1" applyAlignment="1">
      <alignment vertical="center" wrapText="1"/>
    </xf>
    <xf numFmtId="0" fontId="64" fillId="20" borderId="10" xfId="0" applyFont="1" applyFill="1" applyBorder="1" applyAlignment="1">
      <alignment horizontal="left" vertical="center" wrapText="1"/>
    </xf>
    <xf numFmtId="189" fontId="53" fillId="0" borderId="10" xfId="0" applyNumberFormat="1" applyFont="1" applyFill="1" applyBorder="1" applyAlignment="1">
      <alignment vertical="top" wrapText="1"/>
    </xf>
    <xf numFmtId="49" fontId="68" fillId="20" borderId="10" xfId="0" applyNumberFormat="1" applyFont="1" applyFill="1" applyBorder="1" applyAlignment="1">
      <alignment horizontal="center" vertical="center"/>
    </xf>
    <xf numFmtId="189" fontId="64" fillId="20" borderId="10" xfId="0" applyNumberFormat="1" applyFont="1" applyFill="1" applyBorder="1" applyAlignment="1">
      <alignment horizontal="left" vertical="top" wrapText="1"/>
    </xf>
    <xf numFmtId="0" fontId="68" fillId="20" borderId="10" xfId="0" applyFont="1" applyFill="1" applyBorder="1" applyAlignment="1">
      <alignment horizontal="left" vertical="center" wrapText="1"/>
    </xf>
    <xf numFmtId="0" fontId="72" fillId="20" borderId="10" xfId="0" applyFont="1" applyFill="1" applyBorder="1" applyAlignment="1">
      <alignment horizontal="center" vertical="center"/>
    </xf>
    <xf numFmtId="0" fontId="69" fillId="20" borderId="10" xfId="0" applyFont="1" applyFill="1" applyBorder="1" applyAlignment="1">
      <alignment/>
    </xf>
    <xf numFmtId="2" fontId="73" fillId="20" borderId="10" xfId="0" applyNumberFormat="1" applyFont="1" applyFill="1" applyBorder="1" applyAlignment="1">
      <alignment horizontal="center" vertical="center"/>
    </xf>
    <xf numFmtId="2" fontId="62" fillId="0" borderId="0" xfId="0" applyNumberFormat="1" applyFont="1" applyAlignment="1">
      <alignment/>
    </xf>
    <xf numFmtId="0" fontId="74" fillId="0" borderId="0" xfId="0" applyFont="1" applyAlignment="1">
      <alignment/>
    </xf>
    <xf numFmtId="189" fontId="75" fillId="0" borderId="0" xfId="0" applyNumberFormat="1" applyFont="1" applyAlignment="1">
      <alignment/>
    </xf>
    <xf numFmtId="0" fontId="75" fillId="0" borderId="0" xfId="0" applyFont="1" applyAlignment="1">
      <alignment/>
    </xf>
    <xf numFmtId="0" fontId="69" fillId="0" borderId="0" xfId="0" applyFont="1" applyAlignment="1">
      <alignment/>
    </xf>
    <xf numFmtId="0" fontId="72" fillId="0" borderId="0" xfId="0" applyFont="1" applyAlignment="1">
      <alignment/>
    </xf>
    <xf numFmtId="189" fontId="76" fillId="0" borderId="0" xfId="0" applyNumberFormat="1" applyFont="1" applyBorder="1" applyAlignment="1">
      <alignment/>
    </xf>
    <xf numFmtId="189" fontId="69" fillId="0" borderId="0" xfId="0" applyNumberFormat="1" applyFont="1" applyAlignment="1">
      <alignment/>
    </xf>
    <xf numFmtId="0" fontId="75" fillId="0" borderId="0" xfId="0" applyFont="1" applyAlignment="1">
      <alignment/>
    </xf>
    <xf numFmtId="189" fontId="75" fillId="0" borderId="0" xfId="0" applyNumberFormat="1" applyFont="1" applyAlignment="1">
      <alignment/>
    </xf>
    <xf numFmtId="0" fontId="76" fillId="0" borderId="0" xfId="0" applyFont="1" applyAlignment="1">
      <alignment/>
    </xf>
    <xf numFmtId="189" fontId="76" fillId="0" borderId="0" xfId="0" applyNumberFormat="1" applyFont="1" applyBorder="1" applyAlignment="1">
      <alignment/>
    </xf>
    <xf numFmtId="0" fontId="53" fillId="0" borderId="0" xfId="0" applyFont="1" applyAlignment="1">
      <alignment/>
    </xf>
    <xf numFmtId="189" fontId="68" fillId="0" borderId="0" xfId="0" applyNumberFormat="1" applyFont="1" applyFill="1" applyBorder="1" applyAlignment="1">
      <alignment/>
    </xf>
    <xf numFmtId="2" fontId="68" fillId="0" borderId="0" xfId="0" applyNumberFormat="1" applyFont="1" applyFill="1" applyBorder="1" applyAlignment="1">
      <alignment vertical="center"/>
    </xf>
    <xf numFmtId="189" fontId="62" fillId="0" borderId="0" xfId="0" applyNumberFormat="1" applyFont="1" applyBorder="1" applyAlignment="1">
      <alignment/>
    </xf>
    <xf numFmtId="0" fontId="72" fillId="0" borderId="0" xfId="0" applyFont="1" applyFill="1" applyAlignment="1">
      <alignment/>
    </xf>
    <xf numFmtId="0" fontId="72" fillId="0" borderId="0" xfId="0" applyFont="1" applyFill="1" applyBorder="1" applyAlignment="1">
      <alignment/>
    </xf>
    <xf numFmtId="0" fontId="68" fillId="0" borderId="0" xfId="0" applyFont="1" applyFill="1" applyAlignment="1">
      <alignment horizontal="center"/>
    </xf>
    <xf numFmtId="0" fontId="53" fillId="0" borderId="0" xfId="0" applyFont="1" applyFill="1" applyBorder="1" applyAlignment="1">
      <alignment/>
    </xf>
    <xf numFmtId="0" fontId="72" fillId="0" borderId="0" xfId="0" applyFont="1" applyFill="1" applyAlignment="1">
      <alignment horizontal="center"/>
    </xf>
    <xf numFmtId="0" fontId="53" fillId="0" borderId="0" xfId="0" applyFont="1" applyFill="1" applyAlignment="1">
      <alignment horizontal="right"/>
    </xf>
    <xf numFmtId="0" fontId="68" fillId="0" borderId="10" xfId="0" applyFont="1" applyFill="1" applyBorder="1" applyAlignment="1">
      <alignment horizontal="center"/>
    </xf>
    <xf numFmtId="0" fontId="68" fillId="0" borderId="10" xfId="0" applyFont="1" applyFill="1" applyBorder="1" applyAlignment="1">
      <alignment horizontal="center" wrapText="1"/>
    </xf>
    <xf numFmtId="0" fontId="68" fillId="0" borderId="10" xfId="0" applyFont="1" applyFill="1" applyBorder="1" applyAlignment="1">
      <alignment horizontal="center" vertical="top" wrapText="1"/>
    </xf>
    <xf numFmtId="0" fontId="68" fillId="0" borderId="10" xfId="0" applyFont="1" applyFill="1" applyBorder="1" applyAlignment="1">
      <alignment horizontal="left"/>
    </xf>
    <xf numFmtId="0" fontId="53" fillId="0" borderId="10" xfId="0" applyFont="1" applyFill="1" applyBorder="1" applyAlignment="1">
      <alignment/>
    </xf>
    <xf numFmtId="0" fontId="53" fillId="0" borderId="10" xfId="0" applyFont="1" applyFill="1" applyBorder="1" applyAlignment="1">
      <alignment horizontal="left"/>
    </xf>
    <xf numFmtId="2" fontId="68" fillId="0" borderId="10" xfId="0" applyNumberFormat="1" applyFont="1" applyFill="1" applyBorder="1" applyAlignment="1">
      <alignment horizontal="center"/>
    </xf>
    <xf numFmtId="0" fontId="68" fillId="0" borderId="15" xfId="0" applyFont="1" applyFill="1" applyBorder="1" applyAlignment="1">
      <alignment horizontal="center" vertical="top" wrapText="1"/>
    </xf>
    <xf numFmtId="0" fontId="53" fillId="0" borderId="20" xfId="0" applyFont="1" applyFill="1" applyBorder="1" applyAlignment="1">
      <alignment horizontal="left" wrapText="1"/>
    </xf>
    <xf numFmtId="0" fontId="53" fillId="0" borderId="10" xfId="0" applyFont="1" applyFill="1" applyBorder="1" applyAlignment="1">
      <alignment horizontal="left" wrapText="1"/>
    </xf>
    <xf numFmtId="0" fontId="68" fillId="0" borderId="10" xfId="0" applyFont="1" applyFill="1" applyBorder="1" applyAlignment="1">
      <alignment horizontal="left" wrapText="1"/>
    </xf>
    <xf numFmtId="0" fontId="68" fillId="0" borderId="20" xfId="0" applyFont="1" applyFill="1" applyBorder="1" applyAlignment="1">
      <alignment horizontal="center" vertical="top" wrapText="1"/>
    </xf>
    <xf numFmtId="0" fontId="54" fillId="0" borderId="0" xfId="0" applyFont="1" applyAlignment="1">
      <alignment/>
    </xf>
    <xf numFmtId="0" fontId="77" fillId="0" borderId="0" xfId="0" applyFont="1" applyAlignment="1">
      <alignment/>
    </xf>
    <xf numFmtId="0" fontId="54" fillId="0" borderId="0" xfId="0" applyFont="1" applyFill="1" applyAlignment="1">
      <alignment/>
    </xf>
    <xf numFmtId="2" fontId="38" fillId="0" borderId="10" xfId="0" applyNumberFormat="1" applyFont="1" applyBorder="1" applyAlignment="1">
      <alignment horizontal="right"/>
    </xf>
    <xf numFmtId="0" fontId="8" fillId="0" borderId="10" xfId="0" applyFont="1" applyBorder="1" applyAlignment="1">
      <alignment horizontal="left" vertical="center" wrapText="1"/>
    </xf>
    <xf numFmtId="0" fontId="4" fillId="0" borderId="10" xfId="0" applyFont="1" applyBorder="1" applyAlignment="1">
      <alignment horizontal="left" vertical="center" wrapText="1"/>
    </xf>
    <xf numFmtId="0" fontId="31" fillId="0" borderId="10" xfId="0" applyFont="1" applyFill="1" applyBorder="1" applyAlignment="1">
      <alignment horizontal="left" vertical="center" wrapText="1"/>
    </xf>
    <xf numFmtId="0" fontId="4" fillId="0" borderId="10" xfId="0" applyFont="1" applyFill="1" applyBorder="1" applyAlignment="1">
      <alignment vertical="center" wrapText="1"/>
    </xf>
    <xf numFmtId="1" fontId="40" fillId="0" borderId="30" xfId="0" applyNumberFormat="1" applyFont="1" applyFill="1" applyBorder="1" applyAlignment="1">
      <alignment horizontal="center" vertical="center" wrapText="1"/>
    </xf>
    <xf numFmtId="2" fontId="38" fillId="0" borderId="32" xfId="0" applyNumberFormat="1" applyFont="1" applyBorder="1" applyAlignment="1">
      <alignment/>
    </xf>
    <xf numFmtId="2" fontId="38" fillId="0" borderId="19" xfId="0" applyNumberFormat="1" applyFont="1" applyBorder="1" applyAlignment="1">
      <alignment/>
    </xf>
    <xf numFmtId="2" fontId="38" fillId="0" borderId="33" xfId="0" applyNumberFormat="1" applyFont="1" applyBorder="1" applyAlignment="1">
      <alignment horizontal="right"/>
    </xf>
    <xf numFmtId="2" fontId="38" fillId="0" borderId="13" xfId="0" applyNumberFormat="1" applyFont="1" applyBorder="1" applyAlignment="1">
      <alignment horizontal="right"/>
    </xf>
    <xf numFmtId="1" fontId="40" fillId="0" borderId="34" xfId="0" applyNumberFormat="1" applyFont="1" applyFill="1" applyBorder="1" applyAlignment="1">
      <alignment horizontal="center" vertical="center" wrapText="1"/>
    </xf>
    <xf numFmtId="2" fontId="38" fillId="0" borderId="35" xfId="0" applyNumberFormat="1" applyFont="1" applyBorder="1" applyAlignment="1">
      <alignment/>
    </xf>
    <xf numFmtId="2" fontId="38" fillId="0" borderId="18" xfId="0" applyNumberFormat="1" applyFont="1" applyBorder="1" applyAlignment="1">
      <alignment/>
    </xf>
    <xf numFmtId="1" fontId="40" fillId="0" borderId="10"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0" fillId="0" borderId="22" xfId="0" applyFont="1" applyBorder="1" applyAlignment="1">
      <alignment horizontal="center" vertical="center"/>
    </xf>
    <xf numFmtId="0" fontId="32" fillId="0" borderId="36" xfId="0" applyFont="1" applyBorder="1" applyAlignment="1">
      <alignment horizontal="center" vertical="center" wrapText="1"/>
    </xf>
    <xf numFmtId="0" fontId="35" fillId="0" borderId="0" xfId="0" applyFont="1" applyAlignment="1">
      <alignment horizontal="center" vertical="center"/>
    </xf>
    <xf numFmtId="0" fontId="40" fillId="0" borderId="26" xfId="0" applyFont="1" applyBorder="1" applyAlignment="1">
      <alignment horizontal="center" vertical="center"/>
    </xf>
    <xf numFmtId="0" fontId="31" fillId="0" borderId="22" xfId="0" applyFont="1" applyBorder="1" applyAlignment="1">
      <alignment horizontal="left"/>
    </xf>
    <xf numFmtId="0" fontId="32" fillId="0" borderId="26" xfId="0" applyNumberFormat="1" applyFont="1" applyFill="1" applyBorder="1" applyAlignment="1">
      <alignment horizontal="center" vertical="center" wrapText="1"/>
    </xf>
    <xf numFmtId="0" fontId="32" fillId="0" borderId="25" xfId="0" applyNumberFormat="1" applyFont="1" applyFill="1" applyBorder="1" applyAlignment="1">
      <alignment horizontal="center" vertical="center" wrapText="1"/>
    </xf>
    <xf numFmtId="0" fontId="32" fillId="0" borderId="0" xfId="0" applyFont="1" applyFill="1" applyAlignment="1">
      <alignment horizontal="left"/>
    </xf>
    <xf numFmtId="0" fontId="31" fillId="0" borderId="0" xfId="0" applyFont="1" applyAlignment="1">
      <alignment horizontal="left"/>
    </xf>
    <xf numFmtId="0" fontId="32" fillId="0" borderId="37" xfId="0" applyFont="1" applyFill="1" applyBorder="1" applyAlignment="1">
      <alignment horizontal="left" vertical="center" wrapText="1"/>
    </xf>
    <xf numFmtId="0" fontId="32" fillId="0" borderId="30" xfId="0" applyFont="1" applyFill="1" applyBorder="1" applyAlignment="1">
      <alignment horizontal="left" vertical="center"/>
    </xf>
    <xf numFmtId="0" fontId="32" fillId="0" borderId="0" xfId="0" applyFont="1" applyAlignment="1">
      <alignment horizontal="center"/>
    </xf>
    <xf numFmtId="0" fontId="31" fillId="0" borderId="0" xfId="0" applyFont="1" applyAlignment="1">
      <alignment horizontal="center"/>
    </xf>
    <xf numFmtId="0" fontId="32" fillId="0" borderId="16"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22"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34" xfId="0" applyFont="1" applyFill="1" applyBorder="1" applyAlignment="1">
      <alignment horizontal="center" vertical="center"/>
    </xf>
    <xf numFmtId="0" fontId="31" fillId="0" borderId="34" xfId="0" applyFont="1" applyBorder="1" applyAlignment="1">
      <alignment horizontal="center" vertical="center"/>
    </xf>
    <xf numFmtId="0" fontId="32" fillId="0" borderId="26" xfId="0" applyFont="1" applyFill="1" applyBorder="1" applyAlignment="1">
      <alignment horizontal="center" vertical="center"/>
    </xf>
    <xf numFmtId="0" fontId="32" fillId="0" borderId="25" xfId="0" applyFont="1" applyFill="1" applyBorder="1" applyAlignment="1">
      <alignment horizontal="center" vertical="center" wrapText="1"/>
    </xf>
    <xf numFmtId="0" fontId="58" fillId="0" borderId="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20" xfId="0" applyFont="1" applyBorder="1" applyAlignment="1">
      <alignment horizontal="center" vertical="center" wrapText="1"/>
    </xf>
    <xf numFmtId="0" fontId="60" fillId="0" borderId="11" xfId="0" applyFont="1" applyBorder="1" applyAlignment="1">
      <alignment horizontal="center" vertical="center"/>
    </xf>
    <xf numFmtId="0" fontId="60" fillId="0" borderId="20" xfId="0" applyFont="1" applyBorder="1" applyAlignment="1">
      <alignment horizontal="center" vertical="center"/>
    </xf>
    <xf numFmtId="192" fontId="59" fillId="0" borderId="11" xfId="0" applyNumberFormat="1" applyFont="1" applyBorder="1" applyAlignment="1">
      <alignment horizontal="center" vertical="center" wrapText="1"/>
    </xf>
    <xf numFmtId="192" fontId="59" fillId="0" borderId="20" xfId="0" applyNumberFormat="1" applyFont="1" applyBorder="1" applyAlignment="1">
      <alignment horizontal="center" vertical="center" wrapText="1"/>
    </xf>
    <xf numFmtId="192" fontId="59" fillId="0" borderId="19" xfId="0" applyNumberFormat="1" applyFont="1" applyBorder="1" applyAlignment="1">
      <alignment horizontal="center" vertical="center" wrapText="1"/>
    </xf>
    <xf numFmtId="192" fontId="59" fillId="0" borderId="18" xfId="0" applyNumberFormat="1"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27" fillId="0" borderId="0" xfId="0" applyFont="1" applyAlignment="1">
      <alignment horizontal="center"/>
    </xf>
    <xf numFmtId="0" fontId="26" fillId="0" borderId="0" xfId="0" applyAlignment="1">
      <alignment horizontal="center"/>
    </xf>
    <xf numFmtId="0" fontId="4"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2" fillId="0" borderId="31" xfId="0" applyFont="1" applyFill="1" applyBorder="1" applyAlignment="1">
      <alignment horizontal="center" vertical="center"/>
    </xf>
    <xf numFmtId="0" fontId="31" fillId="0" borderId="34" xfId="0" applyFont="1" applyFill="1" applyBorder="1" applyAlignment="1">
      <alignment horizontal="center" vertical="center"/>
    </xf>
    <xf numFmtId="0" fontId="32" fillId="0" borderId="26"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6" xfId="0" applyFont="1" applyFill="1" applyBorder="1" applyAlignment="1">
      <alignment horizontal="left" vertical="center" wrapText="1"/>
    </xf>
    <xf numFmtId="0" fontId="31" fillId="0" borderId="22" xfId="0" applyFont="1" applyBorder="1" applyAlignment="1">
      <alignment horizontal="left" vertical="center"/>
    </xf>
    <xf numFmtId="0" fontId="32" fillId="0" borderId="26" xfId="0" applyFont="1" applyFill="1" applyBorder="1" applyAlignment="1">
      <alignment horizontal="center" vertical="center" textRotation="255"/>
    </xf>
    <xf numFmtId="0" fontId="32" fillId="0" borderId="25" xfId="0" applyFont="1" applyFill="1" applyBorder="1" applyAlignment="1">
      <alignment horizontal="center" vertical="center"/>
    </xf>
    <xf numFmtId="0" fontId="40" fillId="0" borderId="41" xfId="0" applyFont="1" applyBorder="1" applyAlignment="1">
      <alignment horizontal="center" vertical="center"/>
    </xf>
    <xf numFmtId="0" fontId="40" fillId="0" borderId="19" xfId="0" applyFont="1" applyBorder="1" applyAlignment="1">
      <alignment horizontal="center" vertical="center"/>
    </xf>
    <xf numFmtId="0" fontId="40" fillId="0" borderId="42" xfId="0" applyFont="1" applyBorder="1" applyAlignment="1">
      <alignment horizontal="center" vertical="center"/>
    </xf>
    <xf numFmtId="0" fontId="40" fillId="0" borderId="25"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43"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10" xfId="0" applyFont="1" applyFill="1" applyBorder="1" applyAlignment="1">
      <alignment horizontal="center" vertical="center" wrapText="1"/>
    </xf>
    <xf numFmtId="189" fontId="40" fillId="0" borderId="11" xfId="0" applyNumberFormat="1" applyFont="1" applyFill="1" applyBorder="1" applyAlignment="1">
      <alignment horizontal="center" vertical="center" wrapText="1"/>
    </xf>
    <xf numFmtId="189" fontId="40" fillId="0" borderId="12" xfId="0" applyNumberFormat="1" applyFont="1" applyFill="1" applyBorder="1" applyAlignment="1">
      <alignment horizontal="center" vertical="center" wrapText="1"/>
    </xf>
    <xf numFmtId="189" fontId="40" fillId="0" borderId="20" xfId="0" applyNumberFormat="1" applyFont="1" applyFill="1" applyBorder="1" applyAlignment="1">
      <alignment horizontal="center" vertical="center" wrapText="1"/>
    </xf>
    <xf numFmtId="0" fontId="40" fillId="0" borderId="18" xfId="0" applyFont="1" applyBorder="1" applyAlignment="1">
      <alignment horizontal="center" vertical="center"/>
    </xf>
    <xf numFmtId="0" fontId="38" fillId="0" borderId="10" xfId="0" applyFont="1" applyBorder="1" applyAlignment="1">
      <alignment horizontal="center" wrapText="1"/>
    </xf>
    <xf numFmtId="49" fontId="40" fillId="0" borderId="10" xfId="0" applyNumberFormat="1" applyFont="1" applyBorder="1" applyAlignment="1">
      <alignment horizontal="center" wrapText="1"/>
    </xf>
    <xf numFmtId="181" fontId="40" fillId="0" borderId="10" xfId="0" applyNumberFormat="1" applyFont="1" applyBorder="1" applyAlignment="1">
      <alignment horizontal="center"/>
    </xf>
    <xf numFmtId="2" fontId="37" fillId="0" borderId="10" xfId="0" applyNumberFormat="1" applyFont="1" applyBorder="1" applyAlignment="1">
      <alignment horizontal="center"/>
    </xf>
    <xf numFmtId="181" fontId="40" fillId="0" borderId="11" xfId="0" applyNumberFormat="1" applyFont="1" applyFill="1" applyBorder="1" applyAlignment="1">
      <alignment horizontal="center"/>
    </xf>
    <xf numFmtId="181" fontId="40" fillId="0" borderId="12" xfId="0" applyNumberFormat="1" applyFont="1" applyFill="1" applyBorder="1" applyAlignment="1">
      <alignment horizontal="center"/>
    </xf>
    <xf numFmtId="181" fontId="40" fillId="0" borderId="20" xfId="0" applyNumberFormat="1" applyFont="1" applyFill="1" applyBorder="1" applyAlignment="1">
      <alignment horizontal="center"/>
    </xf>
    <xf numFmtId="2" fontId="38" fillId="0" borderId="10" xfId="0" applyNumberFormat="1" applyFont="1" applyBorder="1" applyAlignment="1">
      <alignment horizontal="right"/>
    </xf>
    <xf numFmtId="2" fontId="38" fillId="0" borderId="48" xfId="0" applyNumberFormat="1" applyFont="1" applyBorder="1" applyAlignment="1">
      <alignment horizontal="center"/>
    </xf>
    <xf numFmtId="2" fontId="38" fillId="0" borderId="46" xfId="0" applyNumberFormat="1" applyFont="1" applyBorder="1" applyAlignment="1">
      <alignment horizontal="center"/>
    </xf>
    <xf numFmtId="2" fontId="38" fillId="0" borderId="20" xfId="0" applyNumberFormat="1" applyFont="1" applyBorder="1" applyAlignment="1">
      <alignment horizontal="center"/>
    </xf>
    <xf numFmtId="0" fontId="37" fillId="0" borderId="10" xfId="0" applyNumberFormat="1" applyFont="1" applyFill="1" applyBorder="1" applyAlignment="1">
      <alignment vertical="center" wrapText="1"/>
    </xf>
    <xf numFmtId="181" fontId="40" fillId="0" borderId="10" xfId="0" applyNumberFormat="1" applyFont="1" applyFill="1" applyBorder="1" applyAlignment="1">
      <alignment horizontal="center"/>
    </xf>
    <xf numFmtId="2" fontId="38" fillId="0" borderId="11" xfId="0" applyNumberFormat="1" applyFont="1" applyBorder="1" applyAlignment="1">
      <alignment horizontal="right"/>
    </xf>
    <xf numFmtId="2" fontId="38" fillId="0" borderId="20" xfId="0" applyNumberFormat="1" applyFont="1" applyBorder="1" applyAlignment="1">
      <alignment horizontal="right"/>
    </xf>
    <xf numFmtId="2" fontId="38" fillId="0" borderId="11" xfId="0" applyNumberFormat="1" applyFont="1" applyBorder="1" applyAlignment="1">
      <alignment horizontal="right"/>
    </xf>
    <xf numFmtId="2" fontId="38" fillId="0" borderId="20" xfId="0" applyNumberFormat="1" applyFont="1" applyBorder="1" applyAlignment="1">
      <alignment horizontal="right"/>
    </xf>
    <xf numFmtId="181" fontId="37" fillId="0" borderId="10" xfId="0" applyNumberFormat="1" applyFont="1" applyBorder="1" applyAlignment="1">
      <alignment horizontal="center"/>
    </xf>
    <xf numFmtId="189" fontId="38" fillId="0" borderId="11" xfId="0" applyNumberFormat="1" applyFont="1" applyBorder="1" applyAlignment="1">
      <alignment horizontal="right"/>
    </xf>
    <xf numFmtId="189" fontId="38" fillId="0" borderId="12" xfId="0" applyNumberFormat="1" applyFont="1" applyBorder="1" applyAlignment="1">
      <alignment horizontal="right"/>
    </xf>
    <xf numFmtId="189" fontId="38" fillId="0" borderId="20" xfId="0" applyNumberFormat="1" applyFont="1" applyBorder="1" applyAlignment="1">
      <alignment horizontal="right"/>
    </xf>
    <xf numFmtId="2" fontId="38" fillId="0" borderId="11" xfId="0" applyNumberFormat="1" applyFont="1" applyBorder="1" applyAlignment="1">
      <alignment horizontal="center"/>
    </xf>
    <xf numFmtId="2" fontId="38" fillId="0" borderId="12" xfId="0" applyNumberFormat="1" applyFont="1" applyBorder="1" applyAlignment="1">
      <alignment horizontal="center"/>
    </xf>
    <xf numFmtId="0" fontId="68" fillId="0" borderId="0" xfId="0" applyFont="1" applyFill="1" applyAlignment="1">
      <alignment horizontal="center"/>
    </xf>
    <xf numFmtId="0" fontId="74" fillId="0" borderId="0" xfId="0" applyFont="1" applyFill="1" applyAlignment="1">
      <alignment horizontal="center"/>
    </xf>
    <xf numFmtId="0" fontId="72" fillId="0" borderId="0" xfId="0" applyFont="1" applyFill="1" applyAlignment="1">
      <alignment/>
    </xf>
    <xf numFmtId="0" fontId="68" fillId="0" borderId="10" xfId="0" applyFont="1" applyFill="1" applyBorder="1" applyAlignment="1">
      <alignment horizontal="center" vertical="center"/>
    </xf>
    <xf numFmtId="0" fontId="68" fillId="0" borderId="10" xfId="0" applyFont="1" applyFill="1" applyBorder="1" applyAlignment="1">
      <alignment horizontal="center"/>
    </xf>
    <xf numFmtId="0" fontId="64" fillId="0" borderId="0" xfId="0" applyFont="1" applyAlignment="1">
      <alignment horizontal="center"/>
    </xf>
    <xf numFmtId="0" fontId="64" fillId="0" borderId="0" xfId="0" applyFont="1" applyAlignment="1">
      <alignment horizontal="center" vertical="top"/>
    </xf>
    <xf numFmtId="0" fontId="68" fillId="0" borderId="10" xfId="0" applyFont="1" applyBorder="1" applyAlignment="1">
      <alignment horizontal="center" vertical="center" wrapText="1"/>
    </xf>
    <xf numFmtId="189" fontId="68" fillId="0" borderId="10" xfId="0" applyNumberFormat="1" applyFont="1" applyBorder="1" applyAlignment="1">
      <alignment horizontal="center" vertical="center" wrapText="1"/>
    </xf>
    <xf numFmtId="0" fontId="40" fillId="0" borderId="0" xfId="0" applyFont="1" applyAlignment="1">
      <alignment horizontal="center"/>
    </xf>
    <xf numFmtId="0" fontId="37" fillId="0" borderId="0" xfId="0" applyFont="1" applyAlignment="1">
      <alignment horizontal="center"/>
    </xf>
    <xf numFmtId="0" fontId="40" fillId="0" borderId="14" xfId="0" applyFont="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0" xfId="0" applyFont="1" applyFill="1" applyBorder="1" applyAlignment="1">
      <alignment horizontal="center" vertical="center"/>
    </xf>
    <xf numFmtId="2" fontId="37" fillId="0" borderId="10" xfId="0" applyNumberFormat="1"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0" xfId="0" applyFont="1" applyBorder="1" applyAlignment="1">
      <alignment horizontal="center" vertical="center" wrapText="1"/>
    </xf>
    <xf numFmtId="189" fontId="51" fillId="0" borderId="0" xfId="0" applyNumberFormat="1" applyFont="1" applyAlignment="1">
      <alignment horizontal="center"/>
    </xf>
    <xf numFmtId="2" fontId="37" fillId="0" borderId="10" xfId="0" applyNumberFormat="1" applyFont="1" applyFill="1" applyBorder="1" applyAlignment="1">
      <alignment horizontal="center" vertical="center" wrapText="1"/>
    </xf>
    <xf numFmtId="0" fontId="78" fillId="0" borderId="0" xfId="0" applyFont="1" applyAlignment="1">
      <alignment/>
    </xf>
    <xf numFmtId="0" fontId="79" fillId="0" borderId="0" xfId="0" applyFont="1" applyAlignment="1">
      <alignment/>
    </xf>
    <xf numFmtId="0" fontId="80"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0</xdr:rowOff>
    </xdr:from>
    <xdr:to>
      <xdr:col>0</xdr:col>
      <xdr:colOff>152400</xdr:colOff>
      <xdr:row>57</xdr:row>
      <xdr:rowOff>152400</xdr:rowOff>
    </xdr:to>
    <xdr:pic>
      <xdr:nvPicPr>
        <xdr:cNvPr id="1" name="Picture 1"/>
        <xdr:cNvPicPr preferRelativeResize="1">
          <a:picLocks noChangeAspect="1"/>
        </xdr:cNvPicPr>
      </xdr:nvPicPr>
      <xdr:blipFill>
        <a:blip r:embed="rId1"/>
        <a:stretch>
          <a:fillRect/>
        </a:stretch>
      </xdr:blipFill>
      <xdr:spPr>
        <a:xfrm>
          <a:off x="0" y="30222825"/>
          <a:ext cx="152400" cy="152400"/>
        </a:xfrm>
        <a:prstGeom prst="rect">
          <a:avLst/>
        </a:prstGeom>
        <a:noFill/>
        <a:ln w="1" cmpd="sng">
          <a:noFill/>
        </a:ln>
      </xdr:spPr>
    </xdr:pic>
    <xdr:clientData/>
  </xdr:twoCellAnchor>
  <xdr:twoCellAnchor editAs="oneCell">
    <xdr:from>
      <xdr:col>0</xdr:col>
      <xdr:colOff>0</xdr:colOff>
      <xdr:row>71</xdr:row>
      <xdr:rowOff>0</xdr:rowOff>
    </xdr:from>
    <xdr:to>
      <xdr:col>0</xdr:col>
      <xdr:colOff>152400</xdr:colOff>
      <xdr:row>71</xdr:row>
      <xdr:rowOff>152400</xdr:rowOff>
    </xdr:to>
    <xdr:pic>
      <xdr:nvPicPr>
        <xdr:cNvPr id="2" name="Picture 2"/>
        <xdr:cNvPicPr preferRelativeResize="1">
          <a:picLocks noChangeAspect="1"/>
        </xdr:cNvPicPr>
      </xdr:nvPicPr>
      <xdr:blipFill>
        <a:blip r:embed="rId1"/>
        <a:stretch>
          <a:fillRect/>
        </a:stretch>
      </xdr:blipFill>
      <xdr:spPr>
        <a:xfrm>
          <a:off x="0" y="38604825"/>
          <a:ext cx="152400" cy="152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8"/>
  <sheetViews>
    <sheetView tabSelected="1" view="pageBreakPreview" zoomScale="60" workbookViewId="0" topLeftCell="A1">
      <selection activeCell="C4" sqref="C4"/>
    </sheetView>
  </sheetViews>
  <sheetFormatPr defaultColWidth="9.140625" defaultRowHeight="12.75"/>
  <cols>
    <col min="1" max="1" width="78.28125" style="287" customWidth="1"/>
    <col min="2" max="2" width="11.57421875" style="288" customWidth="1"/>
    <col min="3" max="3" width="15.421875" style="289" customWidth="1"/>
    <col min="4" max="4" width="13.421875" style="289" customWidth="1"/>
    <col min="5" max="5" width="14.00390625" style="289" customWidth="1"/>
    <col min="6" max="6" width="16.00390625" style="289" customWidth="1"/>
    <col min="7" max="7" width="10.57421875" style="290" bestFit="1" customWidth="1"/>
    <col min="8" max="16384" width="9.140625" style="290" customWidth="1"/>
  </cols>
  <sheetData>
    <row r="1" spans="4:6" ht="12.75">
      <c r="D1" s="100" t="s">
        <v>225</v>
      </c>
      <c r="E1" s="100"/>
      <c r="F1" s="100"/>
    </row>
    <row r="2" spans="1:8" ht="14.25">
      <c r="A2" s="291"/>
      <c r="B2" s="292"/>
      <c r="C2" s="293"/>
      <c r="D2" s="100" t="s">
        <v>221</v>
      </c>
      <c r="E2" s="100"/>
      <c r="F2" s="100"/>
      <c r="G2" s="294"/>
      <c r="H2" s="294"/>
    </row>
    <row r="3" spans="1:8" ht="15.75">
      <c r="A3" s="291"/>
      <c r="B3" s="292"/>
      <c r="C3" s="293"/>
      <c r="D3" s="12" t="s">
        <v>281</v>
      </c>
      <c r="E3" s="10"/>
      <c r="F3" s="10"/>
      <c r="G3" s="294"/>
      <c r="H3" s="294"/>
    </row>
    <row r="4" spans="1:8" ht="15.75">
      <c r="A4" s="291"/>
      <c r="B4" s="292"/>
      <c r="C4" s="293"/>
      <c r="D4" s="12" t="s">
        <v>604</v>
      </c>
      <c r="E4" s="10"/>
      <c r="F4" s="10"/>
      <c r="G4" s="294"/>
      <c r="H4" s="294"/>
    </row>
    <row r="5" spans="1:8" ht="15.75">
      <c r="A5" s="291"/>
      <c r="B5" s="292"/>
      <c r="C5" s="293"/>
      <c r="D5" s="556" t="s">
        <v>20</v>
      </c>
      <c r="E5" s="100"/>
      <c r="F5" s="100"/>
      <c r="G5" s="294"/>
      <c r="H5" s="294"/>
    </row>
    <row r="6" spans="1:8" ht="12.75" customHeight="1">
      <c r="A6" s="465" t="s">
        <v>765</v>
      </c>
      <c r="B6" s="465"/>
      <c r="C6" s="465"/>
      <c r="D6" s="465"/>
      <c r="E6" s="465"/>
      <c r="F6" s="465"/>
      <c r="G6" s="296"/>
      <c r="H6" s="296"/>
    </row>
    <row r="7" spans="1:6" ht="13.5" customHeight="1">
      <c r="A7" s="297"/>
      <c r="B7" s="298"/>
      <c r="C7" s="299"/>
      <c r="D7" s="299"/>
      <c r="F7" s="299" t="s">
        <v>766</v>
      </c>
    </row>
    <row r="8" spans="1:7" ht="13.5" customHeight="1">
      <c r="A8" s="466" t="s">
        <v>767</v>
      </c>
      <c r="B8" s="468" t="s">
        <v>768</v>
      </c>
      <c r="C8" s="470" t="s">
        <v>842</v>
      </c>
      <c r="D8" s="472" t="s">
        <v>844</v>
      </c>
      <c r="E8" s="473"/>
      <c r="F8" s="470" t="s">
        <v>769</v>
      </c>
      <c r="G8" s="290" t="s">
        <v>770</v>
      </c>
    </row>
    <row r="9" spans="1:6" ht="34.5" customHeight="1">
      <c r="A9" s="467"/>
      <c r="B9" s="469"/>
      <c r="C9" s="471"/>
      <c r="D9" s="300" t="s">
        <v>704</v>
      </c>
      <c r="E9" s="300" t="s">
        <v>771</v>
      </c>
      <c r="F9" s="471"/>
    </row>
    <row r="10" spans="1:6" s="285" customFormat="1" ht="12.75">
      <c r="A10" s="301" t="s">
        <v>772</v>
      </c>
      <c r="B10" s="302">
        <v>10000000</v>
      </c>
      <c r="C10" s="303">
        <f>C11+C20+C26+C32+C51+C54</f>
        <v>629408972</v>
      </c>
      <c r="D10" s="303">
        <f>D11+D20+D26+D32+D54</f>
        <v>67026680</v>
      </c>
      <c r="E10" s="303">
        <f>E11+E20+E26+E32+E54</f>
        <v>65312500</v>
      </c>
      <c r="F10" s="303">
        <f aca="true" t="shared" si="0" ref="F10:F117">C10+D10</f>
        <v>696435652</v>
      </c>
    </row>
    <row r="11" spans="1:6" s="285" customFormat="1" ht="13.5" customHeight="1">
      <c r="A11" s="301" t="s">
        <v>773</v>
      </c>
      <c r="B11" s="302">
        <v>11000000</v>
      </c>
      <c r="C11" s="303">
        <f>C12+C17</f>
        <v>427936620</v>
      </c>
      <c r="D11" s="303">
        <f>D12+D18</f>
        <v>0</v>
      </c>
      <c r="E11" s="303">
        <f>E12+E18</f>
        <v>0</v>
      </c>
      <c r="F11" s="303">
        <f t="shared" si="0"/>
        <v>427936620</v>
      </c>
    </row>
    <row r="12" spans="1:6" s="285" customFormat="1" ht="12.75">
      <c r="A12" s="301" t="s">
        <v>774</v>
      </c>
      <c r="B12" s="302">
        <v>11010000</v>
      </c>
      <c r="C12" s="303">
        <f>C13+C14+C15+C16</f>
        <v>427547120</v>
      </c>
      <c r="D12" s="303"/>
      <c r="E12" s="303"/>
      <c r="F12" s="303">
        <f t="shared" si="0"/>
        <v>427547120</v>
      </c>
    </row>
    <row r="13" spans="1:6" s="285" customFormat="1" ht="24">
      <c r="A13" s="301" t="s">
        <v>775</v>
      </c>
      <c r="B13" s="302">
        <v>11010100</v>
      </c>
      <c r="C13" s="303">
        <v>359076440</v>
      </c>
      <c r="D13" s="303"/>
      <c r="E13" s="303"/>
      <c r="F13" s="303">
        <f t="shared" si="0"/>
        <v>359076440</v>
      </c>
    </row>
    <row r="14" spans="1:6" s="285" customFormat="1" ht="36">
      <c r="A14" s="301" t="s">
        <v>776</v>
      </c>
      <c r="B14" s="302">
        <v>11010200</v>
      </c>
      <c r="C14" s="303">
        <v>42377980</v>
      </c>
      <c r="D14" s="303"/>
      <c r="E14" s="303"/>
      <c r="F14" s="303">
        <f t="shared" si="0"/>
        <v>42377980</v>
      </c>
    </row>
    <row r="15" spans="1:6" s="285" customFormat="1" ht="24">
      <c r="A15" s="301" t="s">
        <v>777</v>
      </c>
      <c r="B15" s="302">
        <v>11010400</v>
      </c>
      <c r="C15" s="303">
        <v>1962700</v>
      </c>
      <c r="D15" s="303"/>
      <c r="E15" s="303"/>
      <c r="F15" s="303">
        <f t="shared" si="0"/>
        <v>1962700</v>
      </c>
    </row>
    <row r="16" spans="1:6" s="285" customFormat="1" ht="23.25" customHeight="1">
      <c r="A16" s="301" t="s">
        <v>778</v>
      </c>
      <c r="B16" s="302">
        <v>11010500</v>
      </c>
      <c r="C16" s="303">
        <v>24130000</v>
      </c>
      <c r="D16" s="303"/>
      <c r="E16" s="303"/>
      <c r="F16" s="303">
        <f t="shared" si="0"/>
        <v>24130000</v>
      </c>
    </row>
    <row r="17" spans="1:6" s="285" customFormat="1" ht="12.75">
      <c r="A17" s="301" t="s">
        <v>779</v>
      </c>
      <c r="B17" s="302">
        <v>11020000</v>
      </c>
      <c r="C17" s="303">
        <f>C18+C19</f>
        <v>389500</v>
      </c>
      <c r="D17" s="303">
        <f>D18</f>
        <v>0</v>
      </c>
      <c r="E17" s="303">
        <f>E18</f>
        <v>0</v>
      </c>
      <c r="F17" s="303">
        <f t="shared" si="0"/>
        <v>389500</v>
      </c>
    </row>
    <row r="18" spans="1:6" s="285" customFormat="1" ht="14.25" customHeight="1">
      <c r="A18" s="301" t="s">
        <v>780</v>
      </c>
      <c r="B18" s="302">
        <v>11020200</v>
      </c>
      <c r="C18" s="303">
        <v>269800</v>
      </c>
      <c r="D18" s="303"/>
      <c r="E18" s="303"/>
      <c r="F18" s="303">
        <f t="shared" si="0"/>
        <v>269800</v>
      </c>
    </row>
    <row r="19" spans="1:6" s="285" customFormat="1" ht="25.5" customHeight="1">
      <c r="A19" s="301" t="s">
        <v>781</v>
      </c>
      <c r="B19" s="302">
        <v>11023200</v>
      </c>
      <c r="C19" s="303">
        <v>119700</v>
      </c>
      <c r="D19" s="303"/>
      <c r="E19" s="303"/>
      <c r="F19" s="303">
        <f t="shared" si="0"/>
        <v>119700</v>
      </c>
    </row>
    <row r="20" spans="1:6" s="285" customFormat="1" ht="12.75">
      <c r="A20" s="301" t="s">
        <v>782</v>
      </c>
      <c r="B20" s="302">
        <v>12000000</v>
      </c>
      <c r="C20" s="303">
        <f>C21</f>
        <v>0</v>
      </c>
      <c r="D20" s="303">
        <f>D21</f>
        <v>996740</v>
      </c>
      <c r="E20" s="303">
        <f>E21</f>
        <v>0</v>
      </c>
      <c r="F20" s="303">
        <f t="shared" si="0"/>
        <v>996740</v>
      </c>
    </row>
    <row r="21" spans="1:6" s="285" customFormat="1" ht="13.5" customHeight="1">
      <c r="A21" s="301" t="s">
        <v>783</v>
      </c>
      <c r="B21" s="302">
        <v>12030000</v>
      </c>
      <c r="C21" s="303">
        <f>C22+C23+C25+C24</f>
        <v>0</v>
      </c>
      <c r="D21" s="303">
        <f>D22+D23+D25+D24</f>
        <v>996740</v>
      </c>
      <c r="E21" s="303"/>
      <c r="F21" s="303">
        <f t="shared" si="0"/>
        <v>996740</v>
      </c>
    </row>
    <row r="22" spans="1:6" s="285" customFormat="1" ht="13.5" customHeight="1">
      <c r="A22" s="301" t="s">
        <v>784</v>
      </c>
      <c r="B22" s="302">
        <v>12030100</v>
      </c>
      <c r="C22" s="303"/>
      <c r="D22" s="303">
        <v>17100</v>
      </c>
      <c r="E22" s="303"/>
      <c r="F22" s="303">
        <f t="shared" si="0"/>
        <v>17100</v>
      </c>
    </row>
    <row r="23" spans="1:6" s="285" customFormat="1" ht="13.5" customHeight="1">
      <c r="A23" s="301" t="s">
        <v>785</v>
      </c>
      <c r="B23" s="302">
        <v>12030200</v>
      </c>
      <c r="C23" s="303"/>
      <c r="D23" s="303">
        <v>969000</v>
      </c>
      <c r="E23" s="303"/>
      <c r="F23" s="303">
        <f t="shared" si="0"/>
        <v>969000</v>
      </c>
    </row>
    <row r="24" spans="1:6" s="285" customFormat="1" ht="13.5" customHeight="1">
      <c r="A24" s="301" t="s">
        <v>786</v>
      </c>
      <c r="B24" s="302">
        <v>12030300</v>
      </c>
      <c r="C24" s="303"/>
      <c r="D24" s="303">
        <v>1140</v>
      </c>
      <c r="E24" s="303"/>
      <c r="F24" s="303">
        <f t="shared" si="0"/>
        <v>1140</v>
      </c>
    </row>
    <row r="25" spans="1:6" s="285" customFormat="1" ht="13.5" customHeight="1">
      <c r="A25" s="301" t="s">
        <v>787</v>
      </c>
      <c r="B25" s="302">
        <v>12030400</v>
      </c>
      <c r="C25" s="303"/>
      <c r="D25" s="303">
        <v>9500</v>
      </c>
      <c r="E25" s="303"/>
      <c r="F25" s="303">
        <f t="shared" si="0"/>
        <v>9500</v>
      </c>
    </row>
    <row r="26" spans="1:6" s="285" customFormat="1" ht="14.25" customHeight="1">
      <c r="A26" s="301" t="s">
        <v>788</v>
      </c>
      <c r="B26" s="302">
        <v>13000000</v>
      </c>
      <c r="C26" s="303">
        <f>C27</f>
        <v>187005600</v>
      </c>
      <c r="D26" s="303">
        <f>D27</f>
        <v>0</v>
      </c>
      <c r="E26" s="303">
        <f>E27</f>
        <v>0</v>
      </c>
      <c r="F26" s="303">
        <f t="shared" si="0"/>
        <v>187005600</v>
      </c>
    </row>
    <row r="27" spans="1:6" s="285" customFormat="1" ht="12.75">
      <c r="A27" s="301" t="s">
        <v>789</v>
      </c>
      <c r="B27" s="302">
        <v>13050000</v>
      </c>
      <c r="C27" s="303">
        <f>C28+C29+C30+C31</f>
        <v>187005600</v>
      </c>
      <c r="D27" s="303"/>
      <c r="E27" s="303"/>
      <c r="F27" s="303">
        <f t="shared" si="0"/>
        <v>187005600</v>
      </c>
    </row>
    <row r="28" spans="1:6" s="285" customFormat="1" ht="12.75">
      <c r="A28" s="301" t="s">
        <v>790</v>
      </c>
      <c r="B28" s="302">
        <v>13050100</v>
      </c>
      <c r="C28" s="303">
        <v>33820000</v>
      </c>
      <c r="D28" s="303"/>
      <c r="E28" s="303"/>
      <c r="F28" s="303">
        <f t="shared" si="0"/>
        <v>33820000</v>
      </c>
    </row>
    <row r="29" spans="1:6" s="285" customFormat="1" ht="12.75">
      <c r="A29" s="301" t="s">
        <v>791</v>
      </c>
      <c r="B29" s="302">
        <v>13050200</v>
      </c>
      <c r="C29" s="303">
        <v>121828000</v>
      </c>
      <c r="D29" s="303"/>
      <c r="E29" s="303"/>
      <c r="F29" s="303">
        <f t="shared" si="0"/>
        <v>121828000</v>
      </c>
    </row>
    <row r="30" spans="1:6" s="285" customFormat="1" ht="12.75">
      <c r="A30" s="301" t="s">
        <v>792</v>
      </c>
      <c r="B30" s="302">
        <v>13050300</v>
      </c>
      <c r="C30" s="303">
        <v>3800000</v>
      </c>
      <c r="D30" s="303"/>
      <c r="E30" s="303"/>
      <c r="F30" s="303">
        <f t="shared" si="0"/>
        <v>3800000</v>
      </c>
    </row>
    <row r="31" spans="1:6" s="285" customFormat="1" ht="12.75">
      <c r="A31" s="301" t="s">
        <v>793</v>
      </c>
      <c r="B31" s="302">
        <v>13050500</v>
      </c>
      <c r="C31" s="303">
        <v>27557600</v>
      </c>
      <c r="D31" s="303"/>
      <c r="E31" s="303"/>
      <c r="F31" s="303">
        <f t="shared" si="0"/>
        <v>27557600</v>
      </c>
    </row>
    <row r="32" spans="1:6" s="285" customFormat="1" ht="12.75">
      <c r="A32" s="301" t="s">
        <v>794</v>
      </c>
      <c r="B32" s="302">
        <v>18000000</v>
      </c>
      <c r="C32" s="303">
        <f>C36+C39+C51+C33</f>
        <v>14466752</v>
      </c>
      <c r="D32" s="303">
        <f>D36+D39+D51+D33</f>
        <v>65779900</v>
      </c>
      <c r="E32" s="303">
        <f>E36+E39+E51+E33</f>
        <v>65312500</v>
      </c>
      <c r="F32" s="303">
        <f t="shared" si="0"/>
        <v>80246652</v>
      </c>
    </row>
    <row r="33" spans="1:6" s="285" customFormat="1" ht="12.75">
      <c r="A33" s="301" t="s">
        <v>795</v>
      </c>
      <c r="B33" s="302">
        <v>18010000</v>
      </c>
      <c r="C33" s="303">
        <f>C34</f>
        <v>0</v>
      </c>
      <c r="D33" s="303">
        <f>D34+D35</f>
        <v>370500</v>
      </c>
      <c r="E33" s="303">
        <f>E34+E35</f>
        <v>370500</v>
      </c>
      <c r="F33" s="303">
        <f t="shared" si="0"/>
        <v>370500</v>
      </c>
    </row>
    <row r="34" spans="1:6" s="285" customFormat="1" ht="24.75" customHeight="1">
      <c r="A34" s="301" t="s">
        <v>796</v>
      </c>
      <c r="B34" s="302">
        <v>18010100</v>
      </c>
      <c r="C34" s="303"/>
      <c r="D34" s="303">
        <v>292600</v>
      </c>
      <c r="E34" s="303">
        <f>D34</f>
        <v>292600</v>
      </c>
      <c r="F34" s="303">
        <f t="shared" si="0"/>
        <v>292600</v>
      </c>
    </row>
    <row r="35" spans="1:6" s="285" customFormat="1" ht="24" customHeight="1">
      <c r="A35" s="301" t="s">
        <v>797</v>
      </c>
      <c r="B35" s="302">
        <v>18010200</v>
      </c>
      <c r="C35" s="303"/>
      <c r="D35" s="303">
        <v>77900</v>
      </c>
      <c r="E35" s="303">
        <f>D35</f>
        <v>77900</v>
      </c>
      <c r="F35" s="303">
        <f t="shared" si="0"/>
        <v>77900</v>
      </c>
    </row>
    <row r="36" spans="1:6" s="285" customFormat="1" ht="12.75">
      <c r="A36" s="301" t="s">
        <v>798</v>
      </c>
      <c r="B36" s="302">
        <v>18030000</v>
      </c>
      <c r="C36" s="303">
        <f>C37+C38</f>
        <v>3066600</v>
      </c>
      <c r="D36" s="303"/>
      <c r="E36" s="303"/>
      <c r="F36" s="303">
        <f t="shared" si="0"/>
        <v>3066600</v>
      </c>
    </row>
    <row r="37" spans="1:6" s="285" customFormat="1" ht="12.75">
      <c r="A37" s="301" t="s">
        <v>799</v>
      </c>
      <c r="B37" s="302">
        <v>18030100</v>
      </c>
      <c r="C37" s="303">
        <v>2109000</v>
      </c>
      <c r="D37" s="303"/>
      <c r="E37" s="303"/>
      <c r="F37" s="303">
        <f t="shared" si="0"/>
        <v>2109000</v>
      </c>
    </row>
    <row r="38" spans="1:6" s="285" customFormat="1" ht="12.75">
      <c r="A38" s="301" t="s">
        <v>800</v>
      </c>
      <c r="B38" s="302">
        <v>18030200</v>
      </c>
      <c r="C38" s="303">
        <v>957600</v>
      </c>
      <c r="D38" s="303"/>
      <c r="E38" s="303"/>
      <c r="F38" s="303">
        <f t="shared" si="0"/>
        <v>957600</v>
      </c>
    </row>
    <row r="39" spans="1:6" s="285" customFormat="1" ht="12.75">
      <c r="A39" s="301" t="s">
        <v>801</v>
      </c>
      <c r="B39" s="302">
        <v>18040000</v>
      </c>
      <c r="C39" s="303">
        <f>C40+C41+C42+C43+C44+C45+C46+C47+C49+C48+C50</f>
        <v>11400152</v>
      </c>
      <c r="D39" s="303">
        <f>D40+D41+D42+D43+D44+D45+D46+D47+D49+D48</f>
        <v>467400</v>
      </c>
      <c r="E39" s="303">
        <f>E40+E41+E42+E43+E44+E45+E46+E47+E49+E48</f>
        <v>0</v>
      </c>
      <c r="F39" s="303">
        <f t="shared" si="0"/>
        <v>11867552</v>
      </c>
    </row>
    <row r="40" spans="1:6" s="285" customFormat="1" ht="23.25" customHeight="1">
      <c r="A40" s="301" t="s">
        <v>802</v>
      </c>
      <c r="B40" s="302">
        <v>18040100</v>
      </c>
      <c r="C40" s="303">
        <v>5016000</v>
      </c>
      <c r="D40" s="303"/>
      <c r="E40" s="303"/>
      <c r="F40" s="303">
        <f t="shared" si="0"/>
        <v>5016000</v>
      </c>
    </row>
    <row r="41" spans="1:6" s="285" customFormat="1" ht="23.25" customHeight="1">
      <c r="A41" s="301" t="s">
        <v>803</v>
      </c>
      <c r="B41" s="302">
        <v>18040200</v>
      </c>
      <c r="C41" s="303">
        <v>2679760</v>
      </c>
      <c r="D41" s="303"/>
      <c r="E41" s="303"/>
      <c r="F41" s="303">
        <f t="shared" si="0"/>
        <v>2679760</v>
      </c>
    </row>
    <row r="42" spans="1:6" s="285" customFormat="1" ht="24">
      <c r="A42" s="301" t="s">
        <v>804</v>
      </c>
      <c r="B42" s="302">
        <v>18040500</v>
      </c>
      <c r="C42" s="303">
        <v>51680</v>
      </c>
      <c r="D42" s="303"/>
      <c r="E42" s="303"/>
      <c r="F42" s="303">
        <f t="shared" si="0"/>
        <v>51680</v>
      </c>
    </row>
    <row r="43" spans="1:6" s="285" customFormat="1" ht="26.25" customHeight="1">
      <c r="A43" s="301" t="s">
        <v>805</v>
      </c>
      <c r="B43" s="302">
        <v>18040600</v>
      </c>
      <c r="C43" s="303">
        <v>1539000</v>
      </c>
      <c r="D43" s="303"/>
      <c r="E43" s="303"/>
      <c r="F43" s="303">
        <f t="shared" si="0"/>
        <v>1539000</v>
      </c>
    </row>
    <row r="44" spans="1:6" s="285" customFormat="1" ht="25.5" customHeight="1">
      <c r="A44" s="301" t="s">
        <v>806</v>
      </c>
      <c r="B44" s="302">
        <v>18040700</v>
      </c>
      <c r="C44" s="303">
        <v>456000</v>
      </c>
      <c r="D44" s="303"/>
      <c r="E44" s="303"/>
      <c r="F44" s="303">
        <f t="shared" si="0"/>
        <v>456000</v>
      </c>
    </row>
    <row r="45" spans="1:6" s="285" customFormat="1" ht="28.5" customHeight="1">
      <c r="A45" s="301" t="s">
        <v>807</v>
      </c>
      <c r="B45" s="302">
        <v>18040800</v>
      </c>
      <c r="C45" s="303">
        <v>988000</v>
      </c>
      <c r="D45" s="303"/>
      <c r="E45" s="303"/>
      <c r="F45" s="303">
        <f t="shared" si="0"/>
        <v>988000</v>
      </c>
    </row>
    <row r="46" spans="1:6" s="285" customFormat="1" ht="24">
      <c r="A46" s="301" t="s">
        <v>808</v>
      </c>
      <c r="B46" s="302">
        <v>18040900</v>
      </c>
      <c r="C46" s="303">
        <v>5092</v>
      </c>
      <c r="D46" s="303"/>
      <c r="E46" s="303"/>
      <c r="F46" s="303">
        <f t="shared" si="0"/>
        <v>5092</v>
      </c>
    </row>
    <row r="47" spans="1:6" s="285" customFormat="1" ht="28.5" customHeight="1">
      <c r="A47" s="301" t="s">
        <v>809</v>
      </c>
      <c r="B47" s="302">
        <v>18041400</v>
      </c>
      <c r="C47" s="303">
        <v>119700</v>
      </c>
      <c r="D47" s="303"/>
      <c r="E47" s="303"/>
      <c r="F47" s="303">
        <f t="shared" si="0"/>
        <v>119700</v>
      </c>
    </row>
    <row r="48" spans="1:6" s="285" customFormat="1" ht="24.75" customHeight="1">
      <c r="A48" s="301" t="s">
        <v>810</v>
      </c>
      <c r="B48" s="302">
        <v>18041500</v>
      </c>
      <c r="C48" s="303"/>
      <c r="D48" s="303">
        <v>467400</v>
      </c>
      <c r="E48" s="303"/>
      <c r="F48" s="303">
        <f t="shared" si="0"/>
        <v>467400</v>
      </c>
    </row>
    <row r="49" spans="1:6" s="285" customFormat="1" ht="27" customHeight="1">
      <c r="A49" s="301" t="s">
        <v>811</v>
      </c>
      <c r="B49" s="302">
        <v>18041700</v>
      </c>
      <c r="C49" s="303">
        <v>527820</v>
      </c>
      <c r="D49" s="303"/>
      <c r="E49" s="303"/>
      <c r="F49" s="303">
        <f t="shared" si="0"/>
        <v>527820</v>
      </c>
    </row>
    <row r="50" spans="1:6" s="285" customFormat="1" ht="26.25" customHeight="1">
      <c r="A50" s="301" t="s">
        <v>812</v>
      </c>
      <c r="B50" s="302">
        <v>18041800</v>
      </c>
      <c r="C50" s="303">
        <v>17100</v>
      </c>
      <c r="D50" s="303"/>
      <c r="E50" s="303"/>
      <c r="F50" s="303">
        <f t="shared" si="0"/>
        <v>17100</v>
      </c>
    </row>
    <row r="51" spans="1:6" s="285" customFormat="1" ht="13.5" customHeight="1">
      <c r="A51" s="301" t="s">
        <v>813</v>
      </c>
      <c r="B51" s="302">
        <v>18050000</v>
      </c>
      <c r="C51" s="303">
        <v>0</v>
      </c>
      <c r="D51" s="303">
        <f>D52+D53</f>
        <v>64942000</v>
      </c>
      <c r="E51" s="303">
        <f>E52+E53</f>
        <v>64942000</v>
      </c>
      <c r="F51" s="303">
        <f t="shared" si="0"/>
        <v>64942000</v>
      </c>
    </row>
    <row r="52" spans="1:6" s="285" customFormat="1" ht="13.5" customHeight="1">
      <c r="A52" s="301" t="s">
        <v>814</v>
      </c>
      <c r="B52" s="302">
        <v>18050300</v>
      </c>
      <c r="C52" s="303"/>
      <c r="D52" s="303">
        <v>20292000</v>
      </c>
      <c r="E52" s="303">
        <f>D52</f>
        <v>20292000</v>
      </c>
      <c r="F52" s="303">
        <f t="shared" si="0"/>
        <v>20292000</v>
      </c>
    </row>
    <row r="53" spans="1:6" s="285" customFormat="1" ht="13.5" customHeight="1">
      <c r="A53" s="301" t="s">
        <v>815</v>
      </c>
      <c r="B53" s="302">
        <v>18050400</v>
      </c>
      <c r="C53" s="303"/>
      <c r="D53" s="303">
        <v>44650000</v>
      </c>
      <c r="E53" s="303">
        <f>D53</f>
        <v>44650000</v>
      </c>
      <c r="F53" s="303">
        <f t="shared" si="0"/>
        <v>44650000</v>
      </c>
    </row>
    <row r="54" spans="1:6" s="285" customFormat="1" ht="15" customHeight="1">
      <c r="A54" s="301" t="s">
        <v>816</v>
      </c>
      <c r="B54" s="302">
        <v>19000000</v>
      </c>
      <c r="C54" s="303">
        <f>C55</f>
        <v>0</v>
      </c>
      <c r="D54" s="303">
        <f>D55</f>
        <v>250040</v>
      </c>
      <c r="E54" s="303"/>
      <c r="F54" s="303">
        <f t="shared" si="0"/>
        <v>250040</v>
      </c>
    </row>
    <row r="55" spans="1:6" s="285" customFormat="1" ht="14.25" customHeight="1">
      <c r="A55" s="301" t="s">
        <v>817</v>
      </c>
      <c r="B55" s="302">
        <v>19010000</v>
      </c>
      <c r="C55" s="303">
        <f>C56+C57</f>
        <v>0</v>
      </c>
      <c r="D55" s="303">
        <f>D56+D57</f>
        <v>250040</v>
      </c>
      <c r="E55" s="303"/>
      <c r="F55" s="303">
        <f t="shared" si="0"/>
        <v>250040</v>
      </c>
    </row>
    <row r="56" spans="1:6" s="285" customFormat="1" ht="26.25" customHeight="1">
      <c r="A56" s="301" t="s">
        <v>818</v>
      </c>
      <c r="B56" s="302">
        <v>19010100</v>
      </c>
      <c r="C56" s="303"/>
      <c r="D56" s="303">
        <v>157700</v>
      </c>
      <c r="E56" s="303"/>
      <c r="F56" s="303">
        <f t="shared" si="0"/>
        <v>157700</v>
      </c>
    </row>
    <row r="57" spans="1:6" s="285" customFormat="1" ht="27.75" customHeight="1">
      <c r="A57" s="301" t="s">
        <v>819</v>
      </c>
      <c r="B57" s="302">
        <v>19010300</v>
      </c>
      <c r="C57" s="303"/>
      <c r="D57" s="303">
        <v>92340</v>
      </c>
      <c r="E57" s="303"/>
      <c r="F57" s="303">
        <f t="shared" si="0"/>
        <v>92340</v>
      </c>
    </row>
    <row r="58" spans="1:6" s="285" customFormat="1" ht="12.75">
      <c r="A58" s="301" t="s">
        <v>820</v>
      </c>
      <c r="B58" s="302">
        <v>20000000</v>
      </c>
      <c r="C58" s="303">
        <f>C59+C65+C71+C76+C75</f>
        <v>12665022</v>
      </c>
      <c r="D58" s="303">
        <f>D59+D65+D71+D76+D75</f>
        <v>49782052</v>
      </c>
      <c r="E58" s="303">
        <f>E59+E65+E71+E76+E75</f>
        <v>1900000</v>
      </c>
      <c r="F58" s="303">
        <f t="shared" si="0"/>
        <v>62447074</v>
      </c>
    </row>
    <row r="59" spans="1:6" s="285" customFormat="1" ht="12.75">
      <c r="A59" s="301" t="s">
        <v>821</v>
      </c>
      <c r="B59" s="302">
        <v>21000000</v>
      </c>
      <c r="C59" s="303">
        <f>C60+C62</f>
        <v>836760</v>
      </c>
      <c r="D59" s="303">
        <f>D60+D62</f>
        <v>0</v>
      </c>
      <c r="E59" s="303">
        <f>E60+E62</f>
        <v>0</v>
      </c>
      <c r="F59" s="303">
        <f t="shared" si="0"/>
        <v>836760</v>
      </c>
    </row>
    <row r="60" spans="1:6" s="307" customFormat="1" ht="50.25" customHeight="1">
      <c r="A60" s="304" t="s">
        <v>3</v>
      </c>
      <c r="B60" s="305">
        <v>21010000</v>
      </c>
      <c r="C60" s="306">
        <f>C61</f>
        <v>190000</v>
      </c>
      <c r="D60" s="306">
        <f>D61</f>
        <v>0</v>
      </c>
      <c r="E60" s="306"/>
      <c r="F60" s="303">
        <f t="shared" si="0"/>
        <v>190000</v>
      </c>
    </row>
    <row r="61" spans="1:6" s="307" customFormat="1" ht="27" customHeight="1">
      <c r="A61" s="304" t="s">
        <v>4</v>
      </c>
      <c r="B61" s="305">
        <v>21010300</v>
      </c>
      <c r="C61" s="306">
        <v>190000</v>
      </c>
      <c r="D61" s="306"/>
      <c r="E61" s="306"/>
      <c r="F61" s="303">
        <f t="shared" si="0"/>
        <v>190000</v>
      </c>
    </row>
    <row r="62" spans="1:6" s="285" customFormat="1" ht="12.75">
      <c r="A62" s="301" t="s">
        <v>5</v>
      </c>
      <c r="B62" s="302">
        <v>21080000</v>
      </c>
      <c r="C62" s="303">
        <f>C64+C63</f>
        <v>646760</v>
      </c>
      <c r="D62" s="303">
        <f>D64+D63</f>
        <v>0</v>
      </c>
      <c r="E62" s="303">
        <f>E64+E63</f>
        <v>0</v>
      </c>
      <c r="F62" s="303">
        <f t="shared" si="0"/>
        <v>646760</v>
      </c>
    </row>
    <row r="63" spans="1:6" s="285" customFormat="1" ht="36" customHeight="1">
      <c r="A63" s="304" t="s">
        <v>6</v>
      </c>
      <c r="B63" s="302">
        <v>21080900</v>
      </c>
      <c r="C63" s="303">
        <v>107160</v>
      </c>
      <c r="D63" s="303"/>
      <c r="E63" s="303"/>
      <c r="F63" s="303">
        <f t="shared" si="0"/>
        <v>107160</v>
      </c>
    </row>
    <row r="64" spans="1:6" s="285" customFormat="1" ht="12.75">
      <c r="A64" s="301" t="s">
        <v>181</v>
      </c>
      <c r="B64" s="302">
        <v>21081100</v>
      </c>
      <c r="C64" s="303">
        <v>539600</v>
      </c>
      <c r="D64" s="303"/>
      <c r="E64" s="303"/>
      <c r="F64" s="303">
        <f t="shared" si="0"/>
        <v>539600</v>
      </c>
    </row>
    <row r="65" spans="1:6" s="285" customFormat="1" ht="15" customHeight="1">
      <c r="A65" s="301" t="s">
        <v>182</v>
      </c>
      <c r="B65" s="302">
        <v>22000000</v>
      </c>
      <c r="C65" s="303">
        <f>C66+C68</f>
        <v>9657700</v>
      </c>
      <c r="D65" s="303">
        <f>D66+D68</f>
        <v>0</v>
      </c>
      <c r="E65" s="303">
        <f>E66+E68</f>
        <v>0</v>
      </c>
      <c r="F65" s="303">
        <f t="shared" si="0"/>
        <v>9657700</v>
      </c>
    </row>
    <row r="66" spans="1:6" ht="25.5" customHeight="1">
      <c r="A66" s="301" t="s">
        <v>183</v>
      </c>
      <c r="B66" s="302">
        <v>22080000</v>
      </c>
      <c r="C66" s="303">
        <f>C67</f>
        <v>9120000</v>
      </c>
      <c r="D66" s="303">
        <f>D67</f>
        <v>0</v>
      </c>
      <c r="E66" s="303">
        <f>E67</f>
        <v>0</v>
      </c>
      <c r="F66" s="303">
        <f t="shared" si="0"/>
        <v>9120000</v>
      </c>
    </row>
    <row r="67" spans="1:6" ht="24">
      <c r="A67" s="301" t="s">
        <v>184</v>
      </c>
      <c r="B67" s="302">
        <v>22080400</v>
      </c>
      <c r="C67" s="303">
        <v>9120000</v>
      </c>
      <c r="D67" s="303"/>
      <c r="E67" s="303"/>
      <c r="F67" s="303">
        <f t="shared" si="0"/>
        <v>9120000</v>
      </c>
    </row>
    <row r="68" spans="1:6" ht="12.75">
      <c r="A68" s="301" t="s">
        <v>185</v>
      </c>
      <c r="B68" s="302">
        <v>22090000</v>
      </c>
      <c r="C68" s="303">
        <f>C69+C70</f>
        <v>537700</v>
      </c>
      <c r="D68" s="303"/>
      <c r="E68" s="303"/>
      <c r="F68" s="303">
        <f t="shared" si="0"/>
        <v>537700</v>
      </c>
    </row>
    <row r="69" spans="1:6" ht="24">
      <c r="A69" s="301" t="s">
        <v>186</v>
      </c>
      <c r="B69" s="302">
        <v>22090100</v>
      </c>
      <c r="C69" s="303">
        <v>245100</v>
      </c>
      <c r="D69" s="303"/>
      <c r="E69" s="303"/>
      <c r="F69" s="303">
        <f t="shared" si="0"/>
        <v>245100</v>
      </c>
    </row>
    <row r="70" spans="1:6" ht="24">
      <c r="A70" s="301" t="s">
        <v>187</v>
      </c>
      <c r="B70" s="302">
        <v>22090400</v>
      </c>
      <c r="C70" s="303">
        <v>292600</v>
      </c>
      <c r="D70" s="303"/>
      <c r="E70" s="303"/>
      <c r="F70" s="303">
        <f t="shared" si="0"/>
        <v>292600</v>
      </c>
    </row>
    <row r="71" spans="1:6" ht="12.75">
      <c r="A71" s="301" t="s">
        <v>188</v>
      </c>
      <c r="B71" s="302">
        <v>24000000</v>
      </c>
      <c r="C71" s="303">
        <f>C72</f>
        <v>2170562</v>
      </c>
      <c r="D71" s="306">
        <f>D72</f>
        <v>9500</v>
      </c>
      <c r="E71" s="303">
        <f>E72</f>
        <v>0</v>
      </c>
      <c r="F71" s="303">
        <f t="shared" si="0"/>
        <v>2180062</v>
      </c>
    </row>
    <row r="72" spans="1:6" ht="12.75">
      <c r="A72" s="301" t="s">
        <v>5</v>
      </c>
      <c r="B72" s="302">
        <v>24060000</v>
      </c>
      <c r="C72" s="303">
        <f>C73+C74</f>
        <v>2170562</v>
      </c>
      <c r="D72" s="303">
        <f>D73+D74</f>
        <v>9500</v>
      </c>
      <c r="E72" s="303">
        <f>E73+E74</f>
        <v>0</v>
      </c>
      <c r="F72" s="303">
        <f t="shared" si="0"/>
        <v>2180062</v>
      </c>
    </row>
    <row r="73" spans="1:6" ht="12.75">
      <c r="A73" s="301" t="s">
        <v>5</v>
      </c>
      <c r="B73" s="302">
        <v>24060300</v>
      </c>
      <c r="C73" s="303">
        <v>2170562</v>
      </c>
      <c r="D73" s="303"/>
      <c r="E73" s="303"/>
      <c r="F73" s="303">
        <f t="shared" si="0"/>
        <v>2170562</v>
      </c>
    </row>
    <row r="74" spans="1:6" s="285" customFormat="1" ht="25.5" customHeight="1">
      <c r="A74" s="301" t="s">
        <v>189</v>
      </c>
      <c r="B74" s="302">
        <v>24062100</v>
      </c>
      <c r="C74" s="303">
        <v>0</v>
      </c>
      <c r="D74" s="303">
        <v>9500</v>
      </c>
      <c r="E74" s="303"/>
      <c r="F74" s="303">
        <f t="shared" si="0"/>
        <v>9500</v>
      </c>
    </row>
    <row r="75" spans="1:6" s="285" customFormat="1" ht="15.75" customHeight="1">
      <c r="A75" s="301" t="s">
        <v>190</v>
      </c>
      <c r="B75" s="302">
        <v>24170000</v>
      </c>
      <c r="C75" s="303"/>
      <c r="D75" s="303">
        <v>1900000</v>
      </c>
      <c r="E75" s="303">
        <f>D75</f>
        <v>1900000</v>
      </c>
      <c r="F75" s="303">
        <f t="shared" si="0"/>
        <v>1900000</v>
      </c>
    </row>
    <row r="76" spans="1:6" s="285" customFormat="1" ht="12.75">
      <c r="A76" s="301" t="s">
        <v>191</v>
      </c>
      <c r="B76" s="302">
        <v>25000000</v>
      </c>
      <c r="C76" s="303">
        <f>C77</f>
        <v>0</v>
      </c>
      <c r="D76" s="303">
        <f>D77</f>
        <v>47872552</v>
      </c>
      <c r="E76" s="303"/>
      <c r="F76" s="303">
        <f t="shared" si="0"/>
        <v>47872552</v>
      </c>
    </row>
    <row r="77" spans="1:6" s="285" customFormat="1" ht="25.5" customHeight="1">
      <c r="A77" s="301" t="s">
        <v>192</v>
      </c>
      <c r="B77" s="302">
        <v>25010000</v>
      </c>
      <c r="C77" s="303">
        <v>0</v>
      </c>
      <c r="D77" s="306">
        <f>D78+D79+D80+D81</f>
        <v>47872552</v>
      </c>
      <c r="E77" s="303"/>
      <c r="F77" s="303">
        <f t="shared" si="0"/>
        <v>47872552</v>
      </c>
    </row>
    <row r="78" spans="1:6" s="285" customFormat="1" ht="24.75" customHeight="1">
      <c r="A78" s="301" t="s">
        <v>193</v>
      </c>
      <c r="B78" s="302">
        <v>25010100</v>
      </c>
      <c r="C78" s="303"/>
      <c r="D78" s="306">
        <v>43369073</v>
      </c>
      <c r="E78" s="303"/>
      <c r="F78" s="303">
        <f t="shared" si="0"/>
        <v>43369073</v>
      </c>
    </row>
    <row r="79" spans="1:6" s="285" customFormat="1" ht="14.25" customHeight="1">
      <c r="A79" s="301" t="s">
        <v>194</v>
      </c>
      <c r="B79" s="302">
        <v>25010200</v>
      </c>
      <c r="C79" s="303"/>
      <c r="D79" s="306">
        <v>1413129</v>
      </c>
      <c r="E79" s="303"/>
      <c r="F79" s="303">
        <f t="shared" si="0"/>
        <v>1413129</v>
      </c>
    </row>
    <row r="80" spans="1:6" s="285" customFormat="1" ht="15" customHeight="1">
      <c r="A80" s="301" t="s">
        <v>195</v>
      </c>
      <c r="B80" s="302">
        <v>25010300</v>
      </c>
      <c r="C80" s="303"/>
      <c r="D80" s="306">
        <v>2967230</v>
      </c>
      <c r="E80" s="303"/>
      <c r="F80" s="303">
        <f t="shared" si="0"/>
        <v>2967230</v>
      </c>
    </row>
    <row r="81" spans="1:6" s="285" customFormat="1" ht="25.5" customHeight="1">
      <c r="A81" s="301" t="s">
        <v>196</v>
      </c>
      <c r="B81" s="302">
        <v>25010400</v>
      </c>
      <c r="C81" s="303"/>
      <c r="D81" s="306">
        <v>123120</v>
      </c>
      <c r="E81" s="303"/>
      <c r="F81" s="303">
        <f t="shared" si="0"/>
        <v>123120</v>
      </c>
    </row>
    <row r="82" spans="1:6" s="285" customFormat="1" ht="12.75">
      <c r="A82" s="301" t="s">
        <v>197</v>
      </c>
      <c r="B82" s="302">
        <v>30000000</v>
      </c>
      <c r="C82" s="303">
        <f>C83+C86</f>
        <v>55100</v>
      </c>
      <c r="D82" s="303">
        <f>D83+D86</f>
        <v>26714000</v>
      </c>
      <c r="E82" s="303">
        <f>E83+E86</f>
        <v>26714000</v>
      </c>
      <c r="F82" s="303">
        <f t="shared" si="0"/>
        <v>26769100</v>
      </c>
    </row>
    <row r="83" spans="1:6" s="285" customFormat="1" ht="12.75">
      <c r="A83" s="301" t="s">
        <v>198</v>
      </c>
      <c r="B83" s="302">
        <v>31000000</v>
      </c>
      <c r="C83" s="306">
        <f>C84</f>
        <v>55100</v>
      </c>
      <c r="D83" s="303">
        <f>D85</f>
        <v>26600000</v>
      </c>
      <c r="E83" s="303">
        <f>E85</f>
        <v>26600000</v>
      </c>
      <c r="F83" s="303">
        <f t="shared" si="0"/>
        <v>26655100</v>
      </c>
    </row>
    <row r="84" spans="1:6" s="285" customFormat="1" ht="39" customHeight="1">
      <c r="A84" s="301" t="s">
        <v>199</v>
      </c>
      <c r="B84" s="302">
        <v>31010200</v>
      </c>
      <c r="C84" s="303">
        <v>55100</v>
      </c>
      <c r="D84" s="303"/>
      <c r="E84" s="303"/>
      <c r="F84" s="303">
        <f t="shared" si="0"/>
        <v>55100</v>
      </c>
    </row>
    <row r="85" spans="1:6" s="285" customFormat="1" ht="24.75" customHeight="1">
      <c r="A85" s="301" t="s">
        <v>200</v>
      </c>
      <c r="B85" s="302">
        <v>31030000</v>
      </c>
      <c r="C85" s="303">
        <v>0</v>
      </c>
      <c r="D85" s="303">
        <v>26600000</v>
      </c>
      <c r="E85" s="303">
        <f>D85</f>
        <v>26600000</v>
      </c>
      <c r="F85" s="303">
        <f t="shared" si="0"/>
        <v>26600000</v>
      </c>
    </row>
    <row r="86" spans="1:6" s="285" customFormat="1" ht="13.5" customHeight="1">
      <c r="A86" s="301" t="s">
        <v>201</v>
      </c>
      <c r="B86" s="302">
        <v>33010000</v>
      </c>
      <c r="C86" s="303">
        <f>C87</f>
        <v>0</v>
      </c>
      <c r="D86" s="303">
        <f>D87</f>
        <v>114000</v>
      </c>
      <c r="E86" s="303">
        <f>E87</f>
        <v>114000</v>
      </c>
      <c r="F86" s="303">
        <f t="shared" si="0"/>
        <v>114000</v>
      </c>
    </row>
    <row r="87" spans="1:6" s="307" customFormat="1" ht="38.25" customHeight="1">
      <c r="A87" s="304" t="s">
        <v>202</v>
      </c>
      <c r="B87" s="305">
        <v>33010100</v>
      </c>
      <c r="C87" s="306"/>
      <c r="D87" s="306">
        <v>114000</v>
      </c>
      <c r="E87" s="306">
        <f>D87</f>
        <v>114000</v>
      </c>
      <c r="F87" s="303">
        <f t="shared" si="0"/>
        <v>114000</v>
      </c>
    </row>
    <row r="88" spans="1:6" s="285" customFormat="1" ht="12.75">
      <c r="A88" s="308" t="s">
        <v>203</v>
      </c>
      <c r="B88" s="302">
        <v>40000000</v>
      </c>
      <c r="C88" s="303">
        <f>C89</f>
        <v>1663221993</v>
      </c>
      <c r="D88" s="303">
        <f>D89</f>
        <v>33284380</v>
      </c>
      <c r="E88" s="303">
        <f>E89</f>
        <v>21437500</v>
      </c>
      <c r="F88" s="303">
        <f t="shared" si="0"/>
        <v>1696506373</v>
      </c>
    </row>
    <row r="89" spans="1:7" s="285" customFormat="1" ht="12.75">
      <c r="A89" s="301" t="s">
        <v>204</v>
      </c>
      <c r="B89" s="302">
        <v>41000000</v>
      </c>
      <c r="C89" s="303">
        <f>C90+C92+C100</f>
        <v>1663221993</v>
      </c>
      <c r="D89" s="303">
        <f>D90+D92+D100</f>
        <v>33284380</v>
      </c>
      <c r="E89" s="303">
        <f>E90+E92+E100</f>
        <v>21437500</v>
      </c>
      <c r="F89" s="303">
        <f t="shared" si="0"/>
        <v>1696506373</v>
      </c>
      <c r="G89" s="309"/>
    </row>
    <row r="90" spans="1:6" s="285" customFormat="1" ht="12.75">
      <c r="A90" s="301" t="s">
        <v>205</v>
      </c>
      <c r="B90" s="302">
        <v>41010000</v>
      </c>
      <c r="C90" s="303">
        <f>C91</f>
        <v>7052040</v>
      </c>
      <c r="D90" s="303">
        <f>D91</f>
        <v>0</v>
      </c>
      <c r="E90" s="303">
        <f>E91</f>
        <v>0</v>
      </c>
      <c r="F90" s="303">
        <f t="shared" si="0"/>
        <v>7052040</v>
      </c>
    </row>
    <row r="91" spans="1:6" s="285" customFormat="1" ht="39" customHeight="1">
      <c r="A91" s="301" t="s">
        <v>206</v>
      </c>
      <c r="B91" s="302">
        <v>41010600</v>
      </c>
      <c r="C91" s="303">
        <v>7052040</v>
      </c>
      <c r="D91" s="303"/>
      <c r="E91" s="303"/>
      <c r="F91" s="303">
        <f t="shared" si="0"/>
        <v>7052040</v>
      </c>
    </row>
    <row r="92" spans="1:6" s="285" customFormat="1" ht="12.75" customHeight="1">
      <c r="A92" s="310" t="s">
        <v>207</v>
      </c>
      <c r="B92" s="302">
        <v>41020000</v>
      </c>
      <c r="C92" s="303">
        <f>C93+C95+C94</f>
        <v>973602620</v>
      </c>
      <c r="D92" s="303">
        <f>D93+D95+D94</f>
        <v>0</v>
      </c>
      <c r="E92" s="303">
        <f>E93+E95+E94</f>
        <v>0</v>
      </c>
      <c r="F92" s="303">
        <f t="shared" si="0"/>
        <v>973602620</v>
      </c>
    </row>
    <row r="93" spans="1:6" s="285" customFormat="1" ht="26.25" customHeight="1">
      <c r="A93" s="301" t="s">
        <v>208</v>
      </c>
      <c r="B93" s="302">
        <v>41020100</v>
      </c>
      <c r="C93" s="303">
        <v>73356340</v>
      </c>
      <c r="D93" s="303"/>
      <c r="E93" s="303"/>
      <c r="F93" s="303">
        <f t="shared" si="0"/>
        <v>73356340</v>
      </c>
    </row>
    <row r="94" spans="1:6" s="285" customFormat="1" ht="26.25" customHeight="1">
      <c r="A94" s="301" t="s">
        <v>209</v>
      </c>
      <c r="B94" s="302">
        <v>41020600</v>
      </c>
      <c r="C94" s="303">
        <v>1801700</v>
      </c>
      <c r="D94" s="303"/>
      <c r="E94" s="303"/>
      <c r="F94" s="303">
        <f t="shared" si="0"/>
        <v>1801700</v>
      </c>
    </row>
    <row r="95" spans="1:6" s="285" customFormat="1" ht="23.25" customHeight="1">
      <c r="A95" s="301" t="s">
        <v>210</v>
      </c>
      <c r="B95" s="302">
        <v>41020900</v>
      </c>
      <c r="C95" s="303">
        <f>C97+C98+C99</f>
        <v>898444580</v>
      </c>
      <c r="D95" s="303">
        <f>D97+D98+D99</f>
        <v>0</v>
      </c>
      <c r="E95" s="303">
        <f>E97+E98+E99</f>
        <v>0</v>
      </c>
      <c r="F95" s="303">
        <f>F97+F98+F99</f>
        <v>898444580</v>
      </c>
    </row>
    <row r="96" spans="1:6" s="285" customFormat="1" ht="15" customHeight="1">
      <c r="A96" s="301" t="s">
        <v>211</v>
      </c>
      <c r="B96" s="302"/>
      <c r="C96" s="303"/>
      <c r="D96" s="303"/>
      <c r="E96" s="303"/>
      <c r="F96" s="303">
        <f t="shared" si="0"/>
        <v>0</v>
      </c>
    </row>
    <row r="97" spans="1:6" s="285" customFormat="1" ht="13.5" customHeight="1">
      <c r="A97" s="301" t="s">
        <v>212</v>
      </c>
      <c r="B97" s="302"/>
      <c r="C97" s="303">
        <v>839264580</v>
      </c>
      <c r="D97" s="303"/>
      <c r="E97" s="303"/>
      <c r="F97" s="303">
        <f t="shared" si="0"/>
        <v>839264580</v>
      </c>
    </row>
    <row r="98" spans="1:6" s="285" customFormat="1" ht="50.25" customHeight="1">
      <c r="A98" s="304" t="s">
        <v>213</v>
      </c>
      <c r="B98" s="302"/>
      <c r="C98" s="303">
        <v>51180000</v>
      </c>
      <c r="D98" s="303"/>
      <c r="E98" s="303"/>
      <c r="F98" s="303">
        <f t="shared" si="0"/>
        <v>51180000</v>
      </c>
    </row>
    <row r="99" spans="1:6" s="285" customFormat="1" ht="60" customHeight="1">
      <c r="A99" s="304" t="s">
        <v>222</v>
      </c>
      <c r="B99" s="302"/>
      <c r="C99" s="303">
        <v>8000000</v>
      </c>
      <c r="D99" s="303"/>
      <c r="E99" s="303"/>
      <c r="F99" s="303">
        <f t="shared" si="0"/>
        <v>8000000</v>
      </c>
    </row>
    <row r="100" spans="1:6" s="285" customFormat="1" ht="12.75">
      <c r="A100" s="310" t="s">
        <v>214</v>
      </c>
      <c r="B100" s="302">
        <v>41030000</v>
      </c>
      <c r="C100" s="303">
        <f>C102+C105+C108+C111+C121+C129+C135+C146+C116+C114+C119+C149+C101</f>
        <v>682567333</v>
      </c>
      <c r="D100" s="303">
        <f>D102+D105+D108+D111+D121+D129+D135+D146+D116+D114+D119+D149+D101</f>
        <v>33284380</v>
      </c>
      <c r="E100" s="303">
        <f>E102+E105+E108+E111+E121+E129+E135+E146+E116+E114+E119+E149+E101</f>
        <v>21437500</v>
      </c>
      <c r="F100" s="303">
        <f t="shared" si="0"/>
        <v>715851713</v>
      </c>
    </row>
    <row r="101" spans="1:6" s="285" customFormat="1" ht="48">
      <c r="A101" s="310" t="s">
        <v>215</v>
      </c>
      <c r="B101" s="302">
        <v>41030300</v>
      </c>
      <c r="C101" s="303">
        <v>25262900</v>
      </c>
      <c r="D101" s="303"/>
      <c r="E101" s="303"/>
      <c r="F101" s="303">
        <f t="shared" si="0"/>
        <v>25262900</v>
      </c>
    </row>
    <row r="102" spans="1:6" s="285" customFormat="1" ht="33" customHeight="1">
      <c r="A102" s="301" t="s">
        <v>216</v>
      </c>
      <c r="B102" s="302">
        <v>41030600</v>
      </c>
      <c r="C102" s="303">
        <f>C103+C104</f>
        <v>443206160</v>
      </c>
      <c r="D102" s="303"/>
      <c r="E102" s="303"/>
      <c r="F102" s="303">
        <f>F103+F104</f>
        <v>443206160</v>
      </c>
    </row>
    <row r="103" spans="1:6" s="285" customFormat="1" ht="19.5" customHeight="1">
      <c r="A103" s="301" t="s">
        <v>217</v>
      </c>
      <c r="B103" s="302"/>
      <c r="C103" s="303">
        <v>92498840</v>
      </c>
      <c r="D103" s="303"/>
      <c r="E103" s="303"/>
      <c r="F103" s="303">
        <f t="shared" si="0"/>
        <v>92498840</v>
      </c>
    </row>
    <row r="104" spans="1:6" s="285" customFormat="1" ht="18.75" customHeight="1">
      <c r="A104" s="301" t="s">
        <v>218</v>
      </c>
      <c r="B104" s="302"/>
      <c r="C104" s="303">
        <v>350707320</v>
      </c>
      <c r="D104" s="303"/>
      <c r="E104" s="303"/>
      <c r="F104" s="303">
        <f t="shared" si="0"/>
        <v>350707320</v>
      </c>
    </row>
    <row r="105" spans="1:6" s="285" customFormat="1" ht="52.5" customHeight="1">
      <c r="A105" s="311" t="s">
        <v>323</v>
      </c>
      <c r="B105" s="302">
        <v>41030800</v>
      </c>
      <c r="C105" s="303">
        <f>C106+C107</f>
        <v>63291660</v>
      </c>
      <c r="D105" s="303"/>
      <c r="E105" s="303"/>
      <c r="F105" s="303">
        <f>F106+F107</f>
        <v>63291660</v>
      </c>
    </row>
    <row r="106" spans="1:6" s="285" customFormat="1" ht="18" customHeight="1">
      <c r="A106" s="301" t="s">
        <v>217</v>
      </c>
      <c r="B106" s="302"/>
      <c r="C106" s="303">
        <v>9341920</v>
      </c>
      <c r="D106" s="303"/>
      <c r="E106" s="303"/>
      <c r="F106" s="303">
        <f t="shared" si="0"/>
        <v>9341920</v>
      </c>
    </row>
    <row r="107" spans="1:6" s="285" customFormat="1" ht="19.5" customHeight="1">
      <c r="A107" s="301" t="s">
        <v>218</v>
      </c>
      <c r="B107" s="302"/>
      <c r="C107" s="303">
        <v>53949740</v>
      </c>
      <c r="D107" s="303"/>
      <c r="E107" s="303"/>
      <c r="F107" s="303">
        <f t="shared" si="0"/>
        <v>53949740</v>
      </c>
    </row>
    <row r="108" spans="1:6" s="285" customFormat="1" ht="111" customHeight="1">
      <c r="A108" s="301" t="s">
        <v>324</v>
      </c>
      <c r="B108" s="302">
        <v>41030900</v>
      </c>
      <c r="C108" s="303">
        <f>C109+C110</f>
        <v>31042200</v>
      </c>
      <c r="D108" s="303"/>
      <c r="E108" s="303"/>
      <c r="F108" s="303">
        <f>F109+F110</f>
        <v>31042200</v>
      </c>
    </row>
    <row r="109" spans="1:6" s="285" customFormat="1" ht="18.75" customHeight="1">
      <c r="A109" s="301" t="s">
        <v>217</v>
      </c>
      <c r="B109" s="302"/>
      <c r="C109" s="303">
        <v>3288520</v>
      </c>
      <c r="D109" s="303"/>
      <c r="E109" s="303"/>
      <c r="F109" s="303">
        <f t="shared" si="0"/>
        <v>3288520</v>
      </c>
    </row>
    <row r="110" spans="1:6" s="285" customFormat="1" ht="21" customHeight="1">
      <c r="A110" s="301" t="s">
        <v>218</v>
      </c>
      <c r="B110" s="302"/>
      <c r="C110" s="303">
        <v>27753680</v>
      </c>
      <c r="D110" s="303"/>
      <c r="E110" s="303"/>
      <c r="F110" s="303">
        <f t="shared" si="0"/>
        <v>27753680</v>
      </c>
    </row>
    <row r="111" spans="1:6" s="285" customFormat="1" ht="39" customHeight="1">
      <c r="A111" s="301" t="s">
        <v>325</v>
      </c>
      <c r="B111" s="302">
        <v>41031000</v>
      </c>
      <c r="C111" s="303">
        <f>C112+C113</f>
        <v>206200</v>
      </c>
      <c r="D111" s="303"/>
      <c r="E111" s="303"/>
      <c r="F111" s="303">
        <f>F112+F113</f>
        <v>206200</v>
      </c>
    </row>
    <row r="112" spans="1:6" s="285" customFormat="1" ht="21" customHeight="1">
      <c r="A112" s="301" t="s">
        <v>217</v>
      </c>
      <c r="B112" s="302"/>
      <c r="C112" s="303">
        <v>91200</v>
      </c>
      <c r="D112" s="303"/>
      <c r="E112" s="303"/>
      <c r="F112" s="303">
        <f t="shared" si="0"/>
        <v>91200</v>
      </c>
    </row>
    <row r="113" spans="1:6" s="285" customFormat="1" ht="21" customHeight="1">
      <c r="A113" s="301" t="s">
        <v>218</v>
      </c>
      <c r="B113" s="302"/>
      <c r="C113" s="303">
        <v>115000</v>
      </c>
      <c r="D113" s="303"/>
      <c r="E113" s="303"/>
      <c r="F113" s="303">
        <f t="shared" si="0"/>
        <v>115000</v>
      </c>
    </row>
    <row r="114" spans="1:6" s="285" customFormat="1" ht="28.5" customHeight="1">
      <c r="A114" s="304" t="s">
        <v>326</v>
      </c>
      <c r="B114" s="305">
        <v>41033800</v>
      </c>
      <c r="C114" s="306">
        <f>C115</f>
        <v>5714440</v>
      </c>
      <c r="D114" s="306"/>
      <c r="E114" s="306"/>
      <c r="F114" s="306">
        <f>F115</f>
        <v>5714440</v>
      </c>
    </row>
    <row r="115" spans="1:6" s="285" customFormat="1" ht="16.5" customHeight="1">
      <c r="A115" s="301" t="s">
        <v>218</v>
      </c>
      <c r="B115" s="305"/>
      <c r="C115" s="306">
        <v>5714440</v>
      </c>
      <c r="D115" s="306"/>
      <c r="E115" s="306"/>
      <c r="F115" s="303">
        <f t="shared" si="0"/>
        <v>5714440</v>
      </c>
    </row>
    <row r="116" spans="1:6" s="285" customFormat="1" ht="38.25" customHeight="1">
      <c r="A116" s="301" t="s">
        <v>327</v>
      </c>
      <c r="B116" s="302">
        <v>41034400</v>
      </c>
      <c r="C116" s="303">
        <f>C117+C118</f>
        <v>0</v>
      </c>
      <c r="D116" s="303">
        <f>D117+D118</f>
        <v>11846880</v>
      </c>
      <c r="E116" s="303"/>
      <c r="F116" s="303">
        <f>F117+F118</f>
        <v>11846880</v>
      </c>
    </row>
    <row r="117" spans="1:6" s="285" customFormat="1" ht="21" customHeight="1">
      <c r="A117" s="301" t="s">
        <v>217</v>
      </c>
      <c r="B117" s="302"/>
      <c r="C117" s="303"/>
      <c r="D117" s="303">
        <v>1387760</v>
      </c>
      <c r="E117" s="303"/>
      <c r="F117" s="303">
        <f t="shared" si="0"/>
        <v>1387760</v>
      </c>
    </row>
    <row r="118" spans="1:6" s="285" customFormat="1" ht="19.5" customHeight="1">
      <c r="A118" s="301" t="s">
        <v>218</v>
      </c>
      <c r="B118" s="302"/>
      <c r="C118" s="303"/>
      <c r="D118" s="303">
        <v>10459120</v>
      </c>
      <c r="E118" s="303"/>
      <c r="F118" s="303">
        <f>C118+D118</f>
        <v>10459120</v>
      </c>
    </row>
    <row r="119" spans="1:6" s="285" customFormat="1" ht="27.75" customHeight="1">
      <c r="A119" s="301" t="s">
        <v>328</v>
      </c>
      <c r="B119" s="302">
        <v>41034800</v>
      </c>
      <c r="C119" s="303">
        <f>C120</f>
        <v>1989300</v>
      </c>
      <c r="D119" s="303"/>
      <c r="E119" s="303"/>
      <c r="F119" s="303">
        <f>F120</f>
        <v>1989300</v>
      </c>
    </row>
    <row r="120" spans="1:6" s="285" customFormat="1" ht="18.75" customHeight="1">
      <c r="A120" s="301" t="s">
        <v>218</v>
      </c>
      <c r="B120" s="302"/>
      <c r="C120" s="303">
        <v>1989300</v>
      </c>
      <c r="D120" s="303"/>
      <c r="E120" s="303"/>
      <c r="F120" s="303">
        <f aca="true" t="shared" si="1" ref="F120:F154">C120+D120</f>
        <v>1989300</v>
      </c>
    </row>
    <row r="121" spans="1:6" s="285" customFormat="1" ht="17.25" customHeight="1">
      <c r="A121" s="301" t="s">
        <v>329</v>
      </c>
      <c r="B121" s="302">
        <v>41035000</v>
      </c>
      <c r="C121" s="303">
        <f>C122</f>
        <v>5984573</v>
      </c>
      <c r="D121" s="303">
        <f>D122</f>
        <v>0</v>
      </c>
      <c r="E121" s="303">
        <f>E122</f>
        <v>0</v>
      </c>
      <c r="F121" s="303">
        <f>F122</f>
        <v>5984573</v>
      </c>
    </row>
    <row r="122" spans="1:6" s="285" customFormat="1" ht="18" customHeight="1">
      <c r="A122" s="312" t="s">
        <v>330</v>
      </c>
      <c r="B122" s="313"/>
      <c r="C122" s="303">
        <f>C124+C125+C123+C126+C127+C128</f>
        <v>5984573</v>
      </c>
      <c r="D122" s="303">
        <f>D124+D125+D123+D126+D127+D128</f>
        <v>0</v>
      </c>
      <c r="E122" s="303">
        <f>E124+E125+E123+E126+E127+E128</f>
        <v>0</v>
      </c>
      <c r="F122" s="303">
        <f t="shared" si="1"/>
        <v>5984573</v>
      </c>
    </row>
    <row r="123" spans="1:6" s="285" customFormat="1" ht="48.75" customHeight="1">
      <c r="A123" s="312" t="s">
        <v>331</v>
      </c>
      <c r="B123" s="313"/>
      <c r="C123" s="306">
        <v>1685680</v>
      </c>
      <c r="D123" s="303"/>
      <c r="E123" s="303"/>
      <c r="F123" s="303">
        <f t="shared" si="1"/>
        <v>1685680</v>
      </c>
    </row>
    <row r="124" spans="1:6" s="285" customFormat="1" ht="51" customHeight="1">
      <c r="A124" s="312" t="s">
        <v>303</v>
      </c>
      <c r="B124" s="313"/>
      <c r="C124" s="306">
        <v>1812030</v>
      </c>
      <c r="D124" s="303"/>
      <c r="E124" s="303"/>
      <c r="F124" s="303">
        <f t="shared" si="1"/>
        <v>1812030</v>
      </c>
    </row>
    <row r="125" spans="1:6" s="285" customFormat="1" ht="44.25" customHeight="1">
      <c r="A125" s="312" t="s">
        <v>51</v>
      </c>
      <c r="B125" s="313"/>
      <c r="C125" s="306">
        <v>1545080</v>
      </c>
      <c r="D125" s="303"/>
      <c r="E125" s="303"/>
      <c r="F125" s="303">
        <f t="shared" si="1"/>
        <v>1545080</v>
      </c>
    </row>
    <row r="126" spans="1:6" s="285" customFormat="1" ht="44.25" customHeight="1">
      <c r="A126" s="314" t="s">
        <v>52</v>
      </c>
      <c r="B126" s="315"/>
      <c r="C126" s="306">
        <v>115900</v>
      </c>
      <c r="D126" s="306"/>
      <c r="E126" s="306"/>
      <c r="F126" s="306">
        <f>C126+D126</f>
        <v>115900</v>
      </c>
    </row>
    <row r="127" spans="1:6" s="285" customFormat="1" ht="36.75" customHeight="1">
      <c r="A127" s="314" t="s">
        <v>53</v>
      </c>
      <c r="B127" s="315"/>
      <c r="C127" s="306">
        <v>306976</v>
      </c>
      <c r="D127" s="306"/>
      <c r="E127" s="306"/>
      <c r="F127" s="306">
        <f>C127+D127</f>
        <v>306976</v>
      </c>
    </row>
    <row r="128" spans="1:6" s="285" customFormat="1" ht="36.75" customHeight="1">
      <c r="A128" s="314" t="s">
        <v>54</v>
      </c>
      <c r="B128" s="315"/>
      <c r="C128" s="306">
        <v>518907</v>
      </c>
      <c r="D128" s="306"/>
      <c r="E128" s="306"/>
      <c r="F128" s="306">
        <f>C128+D128</f>
        <v>518907</v>
      </c>
    </row>
    <row r="129" spans="1:7" s="285" customFormat="1" ht="28.5" customHeight="1">
      <c r="A129" s="316" t="s">
        <v>55</v>
      </c>
      <c r="B129" s="317">
        <v>41035200</v>
      </c>
      <c r="C129" s="303">
        <f>C130</f>
        <v>6687240</v>
      </c>
      <c r="D129" s="303">
        <f>D130</f>
        <v>0</v>
      </c>
      <c r="E129" s="303">
        <f>E130</f>
        <v>0</v>
      </c>
      <c r="F129" s="303">
        <f>F130</f>
        <v>6687240</v>
      </c>
      <c r="G129" s="295"/>
    </row>
    <row r="130" spans="1:7" s="285" customFormat="1" ht="18" customHeight="1">
      <c r="A130" s="316" t="s">
        <v>56</v>
      </c>
      <c r="B130" s="313"/>
      <c r="C130" s="303">
        <f>C131+C132+C133+C134</f>
        <v>6687240</v>
      </c>
      <c r="D130" s="303">
        <f>D131+D132+D133+D134</f>
        <v>0</v>
      </c>
      <c r="E130" s="303">
        <f>E131+E132+E133+E134</f>
        <v>0</v>
      </c>
      <c r="F130" s="303">
        <f t="shared" si="1"/>
        <v>6687240</v>
      </c>
      <c r="G130" s="309"/>
    </row>
    <row r="131" spans="1:6" s="285" customFormat="1" ht="21" customHeight="1">
      <c r="A131" s="318" t="s">
        <v>57</v>
      </c>
      <c r="B131" s="313"/>
      <c r="C131" s="303">
        <v>810920</v>
      </c>
      <c r="D131" s="303"/>
      <c r="E131" s="303"/>
      <c r="F131" s="303">
        <f t="shared" si="1"/>
        <v>810920</v>
      </c>
    </row>
    <row r="132" spans="1:6" s="285" customFormat="1" ht="30" customHeight="1">
      <c r="A132" s="318" t="s">
        <v>58</v>
      </c>
      <c r="B132" s="319"/>
      <c r="C132" s="303">
        <v>5522540</v>
      </c>
      <c r="D132" s="303"/>
      <c r="E132" s="303"/>
      <c r="F132" s="303">
        <f t="shared" si="1"/>
        <v>5522540</v>
      </c>
    </row>
    <row r="133" spans="1:6" s="285" customFormat="1" ht="27.75" customHeight="1">
      <c r="A133" s="318" t="s">
        <v>59</v>
      </c>
      <c r="B133" s="313"/>
      <c r="C133" s="303">
        <v>109820</v>
      </c>
      <c r="D133" s="303"/>
      <c r="E133" s="303"/>
      <c r="F133" s="303">
        <f t="shared" si="1"/>
        <v>109820</v>
      </c>
    </row>
    <row r="134" spans="1:6" s="285" customFormat="1" ht="38.25" customHeight="1">
      <c r="A134" s="318" t="s">
        <v>60</v>
      </c>
      <c r="B134" s="313"/>
      <c r="C134" s="303">
        <v>243960</v>
      </c>
      <c r="D134" s="303"/>
      <c r="E134" s="303"/>
      <c r="F134" s="303">
        <f t="shared" si="1"/>
        <v>243960</v>
      </c>
    </row>
    <row r="135" spans="1:6" s="285" customFormat="1" ht="27" customHeight="1">
      <c r="A135" s="318" t="s">
        <v>61</v>
      </c>
      <c r="B135" s="317">
        <v>41035600</v>
      </c>
      <c r="C135" s="303">
        <f>C136</f>
        <v>88609960</v>
      </c>
      <c r="D135" s="303">
        <f>D136</f>
        <v>21437500</v>
      </c>
      <c r="E135" s="303">
        <f>E136</f>
        <v>21437500</v>
      </c>
      <c r="F135" s="303">
        <f>F136</f>
        <v>110047460</v>
      </c>
    </row>
    <row r="136" spans="1:6" s="285" customFormat="1" ht="16.5" customHeight="1">
      <c r="A136" s="318" t="s">
        <v>56</v>
      </c>
      <c r="B136" s="313"/>
      <c r="C136" s="303">
        <f>C137+C138+C139+C140+C141+C142+C143+C144+C145</f>
        <v>88609960</v>
      </c>
      <c r="D136" s="303">
        <f>D137+D138+D139+D140+D141+D142+D143+D144+D145</f>
        <v>21437500</v>
      </c>
      <c r="E136" s="303">
        <f>E137+E138+E139+E140+E141+E142+E143+E144+E145</f>
        <v>21437500</v>
      </c>
      <c r="F136" s="303">
        <f t="shared" si="1"/>
        <v>110047460</v>
      </c>
    </row>
    <row r="137" spans="1:6" s="285" customFormat="1" ht="29.25" customHeight="1">
      <c r="A137" s="318" t="s">
        <v>62</v>
      </c>
      <c r="B137" s="313"/>
      <c r="C137" s="303">
        <v>1543940</v>
      </c>
      <c r="D137" s="303"/>
      <c r="E137" s="303"/>
      <c r="F137" s="303">
        <f t="shared" si="1"/>
        <v>1543940</v>
      </c>
    </row>
    <row r="138" spans="1:6" s="285" customFormat="1" ht="27" customHeight="1">
      <c r="A138" s="314" t="s">
        <v>605</v>
      </c>
      <c r="B138" s="313"/>
      <c r="C138" s="303">
        <v>2607560</v>
      </c>
      <c r="D138" s="303"/>
      <c r="E138" s="303"/>
      <c r="F138" s="303">
        <f t="shared" si="1"/>
        <v>2607560</v>
      </c>
    </row>
    <row r="139" spans="1:6" s="285" customFormat="1" ht="36" customHeight="1">
      <c r="A139" s="316" t="s">
        <v>606</v>
      </c>
      <c r="B139" s="313"/>
      <c r="C139" s="303">
        <v>193800</v>
      </c>
      <c r="D139" s="303"/>
      <c r="E139" s="303"/>
      <c r="F139" s="303">
        <f t="shared" si="1"/>
        <v>193800</v>
      </c>
    </row>
    <row r="140" spans="1:6" s="285" customFormat="1" ht="31.5" customHeight="1">
      <c r="A140" s="316" t="s">
        <v>607</v>
      </c>
      <c r="B140" s="313"/>
      <c r="C140" s="303">
        <v>40660</v>
      </c>
      <c r="D140" s="303"/>
      <c r="E140" s="303"/>
      <c r="F140" s="303">
        <f t="shared" si="1"/>
        <v>40660</v>
      </c>
    </row>
    <row r="141" spans="1:6" s="285" customFormat="1" ht="31.5" customHeight="1">
      <c r="A141" s="316" t="s">
        <v>608</v>
      </c>
      <c r="B141" s="313"/>
      <c r="C141" s="303">
        <v>83485600</v>
      </c>
      <c r="D141" s="303"/>
      <c r="E141" s="303"/>
      <c r="F141" s="303">
        <f t="shared" si="1"/>
        <v>83485600</v>
      </c>
    </row>
    <row r="142" spans="1:6" s="285" customFormat="1" ht="31.5" customHeight="1">
      <c r="A142" s="316" t="s">
        <v>609</v>
      </c>
      <c r="B142" s="313"/>
      <c r="C142" s="303">
        <v>61400</v>
      </c>
      <c r="D142" s="303">
        <v>543700</v>
      </c>
      <c r="E142" s="303">
        <v>543700</v>
      </c>
      <c r="F142" s="303">
        <f t="shared" si="1"/>
        <v>605100</v>
      </c>
    </row>
    <row r="143" spans="1:6" s="285" customFormat="1" ht="31.5" customHeight="1">
      <c r="A143" s="316" t="s">
        <v>610</v>
      </c>
      <c r="B143" s="313"/>
      <c r="C143" s="303">
        <v>142000</v>
      </c>
      <c r="D143" s="303"/>
      <c r="E143" s="303"/>
      <c r="F143" s="303">
        <f t="shared" si="1"/>
        <v>142000</v>
      </c>
    </row>
    <row r="144" spans="1:6" s="285" customFormat="1" ht="31.5" customHeight="1">
      <c r="A144" s="316" t="s">
        <v>63</v>
      </c>
      <c r="B144" s="313"/>
      <c r="C144" s="303">
        <v>535000</v>
      </c>
      <c r="D144" s="303"/>
      <c r="E144" s="303"/>
      <c r="F144" s="303">
        <f t="shared" si="1"/>
        <v>535000</v>
      </c>
    </row>
    <row r="145" spans="1:6" s="285" customFormat="1" ht="21" customHeight="1">
      <c r="A145" s="316" t="s">
        <v>64</v>
      </c>
      <c r="B145" s="313"/>
      <c r="C145" s="303"/>
      <c r="D145" s="303">
        <v>20893800</v>
      </c>
      <c r="E145" s="303">
        <v>20893800</v>
      </c>
      <c r="F145" s="303">
        <f t="shared" si="1"/>
        <v>20893800</v>
      </c>
    </row>
    <row r="146" spans="1:6" s="285" customFormat="1" ht="49.5" customHeight="1">
      <c r="A146" s="301" t="s">
        <v>65</v>
      </c>
      <c r="B146" s="302">
        <v>41035800</v>
      </c>
      <c r="C146" s="303">
        <f>C147+C148</f>
        <v>8208000</v>
      </c>
      <c r="D146" s="303"/>
      <c r="E146" s="303"/>
      <c r="F146" s="303">
        <f>F147+F148</f>
        <v>8208000</v>
      </c>
    </row>
    <row r="147" spans="1:6" s="285" customFormat="1" ht="20.25" customHeight="1">
      <c r="A147" s="301" t="s">
        <v>217</v>
      </c>
      <c r="B147" s="302"/>
      <c r="C147" s="303">
        <v>1760160</v>
      </c>
      <c r="D147" s="303"/>
      <c r="E147" s="303"/>
      <c r="F147" s="303">
        <f t="shared" si="1"/>
        <v>1760160</v>
      </c>
    </row>
    <row r="148" spans="1:6" s="285" customFormat="1" ht="19.5" customHeight="1">
      <c r="A148" s="301" t="s">
        <v>218</v>
      </c>
      <c r="B148" s="302"/>
      <c r="C148" s="303">
        <v>6447840</v>
      </c>
      <c r="D148" s="303"/>
      <c r="E148" s="303"/>
      <c r="F148" s="303">
        <f t="shared" si="1"/>
        <v>6447840</v>
      </c>
    </row>
    <row r="149" spans="1:6" s="285" customFormat="1" ht="28.5" customHeight="1">
      <c r="A149" s="320" t="s">
        <v>66</v>
      </c>
      <c r="B149" s="302">
        <v>41037000</v>
      </c>
      <c r="C149" s="303">
        <v>2364700</v>
      </c>
      <c r="D149" s="303"/>
      <c r="E149" s="303"/>
      <c r="F149" s="303">
        <f t="shared" si="1"/>
        <v>2364700</v>
      </c>
    </row>
    <row r="150" spans="1:6" s="285" customFormat="1" ht="14.25" customHeight="1">
      <c r="A150" s="301" t="s">
        <v>67</v>
      </c>
      <c r="B150" s="302">
        <v>50000000</v>
      </c>
      <c r="C150" s="303">
        <v>0</v>
      </c>
      <c r="D150" s="303">
        <f>D151</f>
        <v>33147431</v>
      </c>
      <c r="E150" s="303">
        <f>E151</f>
        <v>0</v>
      </c>
      <c r="F150" s="303">
        <f t="shared" si="1"/>
        <v>33147431</v>
      </c>
    </row>
    <row r="151" spans="1:6" s="285" customFormat="1" ht="12.75">
      <c r="A151" s="301" t="s">
        <v>68</v>
      </c>
      <c r="B151" s="302">
        <v>50100000</v>
      </c>
      <c r="C151" s="303">
        <v>0</v>
      </c>
      <c r="D151" s="303">
        <f>D152</f>
        <v>33147431</v>
      </c>
      <c r="E151" s="303"/>
      <c r="F151" s="303">
        <f t="shared" si="1"/>
        <v>33147431</v>
      </c>
    </row>
    <row r="152" spans="1:6" s="285" customFormat="1" ht="24.75" customHeight="1">
      <c r="A152" s="301" t="s">
        <v>69</v>
      </c>
      <c r="B152" s="302">
        <v>50110000</v>
      </c>
      <c r="C152" s="303"/>
      <c r="D152" s="303">
        <v>33147431</v>
      </c>
      <c r="E152" s="303"/>
      <c r="F152" s="303">
        <f t="shared" si="1"/>
        <v>33147431</v>
      </c>
    </row>
    <row r="153" spans="1:6" s="285" customFormat="1" ht="16.5" customHeight="1">
      <c r="A153" s="301" t="s">
        <v>70</v>
      </c>
      <c r="B153" s="302"/>
      <c r="C153" s="303">
        <v>0</v>
      </c>
      <c r="D153" s="303">
        <v>39900000</v>
      </c>
      <c r="E153" s="303"/>
      <c r="F153" s="303">
        <f t="shared" si="1"/>
        <v>39900000</v>
      </c>
    </row>
    <row r="154" spans="1:7" s="285" customFormat="1" ht="12.75">
      <c r="A154" s="321" t="s">
        <v>71</v>
      </c>
      <c r="B154" s="302"/>
      <c r="C154" s="303">
        <f>C10+C58+C82+C88+C150</f>
        <v>2305351087</v>
      </c>
      <c r="D154" s="303">
        <f>D10+D58+D82+D88+D150</f>
        <v>209954543</v>
      </c>
      <c r="E154" s="303">
        <f>E10+E58+E82+E88+E150</f>
        <v>115364000</v>
      </c>
      <c r="F154" s="303">
        <f t="shared" si="1"/>
        <v>2515305630</v>
      </c>
      <c r="G154" s="309"/>
    </row>
    <row r="155" spans="1:6" s="285" customFormat="1" ht="12.75">
      <c r="A155" s="322" t="s">
        <v>72</v>
      </c>
      <c r="B155" s="323"/>
      <c r="C155" s="324"/>
      <c r="D155" s="324"/>
      <c r="E155" s="324"/>
      <c r="F155" s="324"/>
    </row>
    <row r="156" spans="1:6" s="285" customFormat="1" ht="12.75">
      <c r="A156" s="322"/>
      <c r="B156" s="323"/>
      <c r="C156" s="324"/>
      <c r="D156" s="324"/>
      <c r="E156" s="324"/>
      <c r="F156" s="324"/>
    </row>
    <row r="157" spans="1:7" s="285" customFormat="1" ht="12.75">
      <c r="A157" s="42"/>
      <c r="B157" s="43"/>
      <c r="C157" s="43"/>
      <c r="D157" s="43"/>
      <c r="E157" s="43"/>
      <c r="F157" s="43"/>
      <c r="G157" s="43"/>
    </row>
    <row r="158" spans="1:7" s="285" customFormat="1" ht="12.75">
      <c r="A158" s="42"/>
      <c r="B158" s="43"/>
      <c r="C158" s="43"/>
      <c r="D158" s="43"/>
      <c r="E158" s="43"/>
      <c r="G158" s="43"/>
    </row>
    <row r="159" spans="1:6" s="285" customFormat="1" ht="12.75">
      <c r="A159" s="322"/>
      <c r="B159" s="323"/>
      <c r="C159" s="324"/>
      <c r="D159" s="324"/>
      <c r="E159" s="43"/>
      <c r="F159" s="324"/>
    </row>
    <row r="160" spans="1:6" s="285" customFormat="1" ht="12.75">
      <c r="A160" s="322"/>
      <c r="B160" s="323"/>
      <c r="C160" s="324"/>
      <c r="D160" s="324"/>
      <c r="E160" s="324"/>
      <c r="F160" s="324"/>
    </row>
    <row r="161" spans="1:6" s="285" customFormat="1" ht="12.75">
      <c r="A161" s="322"/>
      <c r="B161" s="323"/>
      <c r="C161" s="324"/>
      <c r="D161" s="324"/>
      <c r="E161" s="324"/>
      <c r="F161" s="324"/>
    </row>
    <row r="162" spans="1:6" s="285" customFormat="1" ht="12.75">
      <c r="A162" s="322"/>
      <c r="B162" s="323"/>
      <c r="C162" s="324"/>
      <c r="D162" s="324"/>
      <c r="E162" s="324"/>
      <c r="F162" s="324"/>
    </row>
    <row r="163" spans="1:6" s="285" customFormat="1" ht="12.75">
      <c r="A163" s="322"/>
      <c r="B163" s="323"/>
      <c r="C163" s="324"/>
      <c r="D163" s="324"/>
      <c r="E163" s="324"/>
      <c r="F163" s="324"/>
    </row>
    <row r="164" spans="1:6" s="285" customFormat="1" ht="12.75">
      <c r="A164" s="322"/>
      <c r="B164" s="323"/>
      <c r="C164" s="324"/>
      <c r="D164" s="324"/>
      <c r="E164" s="324"/>
      <c r="F164" s="324"/>
    </row>
    <row r="165" spans="1:6" s="285" customFormat="1" ht="12.75">
      <c r="A165" s="322"/>
      <c r="B165" s="323"/>
      <c r="C165" s="324"/>
      <c r="D165" s="324"/>
      <c r="E165" s="324"/>
      <c r="F165" s="324"/>
    </row>
    <row r="166" spans="1:6" s="285" customFormat="1" ht="12.75">
      <c r="A166" s="322"/>
      <c r="B166" s="323"/>
      <c r="C166" s="324"/>
      <c r="D166" s="324"/>
      <c r="E166" s="324"/>
      <c r="F166" s="324"/>
    </row>
    <row r="167" spans="1:6" s="285" customFormat="1" ht="12.75">
      <c r="A167" s="322"/>
      <c r="B167" s="323"/>
      <c r="C167" s="324"/>
      <c r="D167" s="324"/>
      <c r="E167" s="324"/>
      <c r="F167" s="324"/>
    </row>
    <row r="168" spans="1:6" s="285" customFormat="1" ht="12.75">
      <c r="A168" s="322"/>
      <c r="B168" s="323"/>
      <c r="C168" s="324"/>
      <c r="D168" s="324"/>
      <c r="E168" s="324"/>
      <c r="F168" s="324"/>
    </row>
    <row r="169" spans="1:6" s="285" customFormat="1" ht="12.75">
      <c r="A169" s="322"/>
      <c r="B169" s="323"/>
      <c r="C169" s="324"/>
      <c r="D169" s="324"/>
      <c r="E169" s="324"/>
      <c r="F169" s="324"/>
    </row>
    <row r="170" spans="1:6" s="285" customFormat="1" ht="12.75">
      <c r="A170" s="322"/>
      <c r="B170" s="323"/>
      <c r="C170" s="324"/>
      <c r="D170" s="324"/>
      <c r="E170" s="324"/>
      <c r="F170" s="324"/>
    </row>
    <row r="171" spans="1:6" s="285" customFormat="1" ht="12.75">
      <c r="A171" s="322"/>
      <c r="B171" s="323"/>
      <c r="C171" s="324"/>
      <c r="D171" s="324"/>
      <c r="E171" s="324"/>
      <c r="F171" s="324"/>
    </row>
    <row r="172" spans="1:6" ht="12.75">
      <c r="A172" s="322"/>
      <c r="B172" s="323"/>
      <c r="C172" s="324"/>
      <c r="D172" s="324"/>
      <c r="E172" s="324"/>
      <c r="F172" s="324"/>
    </row>
    <row r="173" spans="1:6" ht="12.75">
      <c r="A173" s="322"/>
      <c r="B173" s="323"/>
      <c r="C173" s="324"/>
      <c r="D173" s="324"/>
      <c r="E173" s="324"/>
      <c r="F173" s="324"/>
    </row>
    <row r="174" spans="1:6" ht="12.75">
      <c r="A174" s="322"/>
      <c r="B174" s="323"/>
      <c r="C174" s="324"/>
      <c r="D174" s="324"/>
      <c r="E174" s="324"/>
      <c r="F174" s="324"/>
    </row>
    <row r="175" spans="1:6" ht="12.75">
      <c r="A175" s="322"/>
      <c r="B175" s="323"/>
      <c r="C175" s="324"/>
      <c r="D175" s="324"/>
      <c r="E175" s="324"/>
      <c r="F175" s="324"/>
    </row>
    <row r="176" spans="1:6" ht="12.75">
      <c r="A176" s="322"/>
      <c r="B176" s="323"/>
      <c r="C176" s="324"/>
      <c r="D176" s="324"/>
      <c r="E176" s="324"/>
      <c r="F176" s="324"/>
    </row>
    <row r="177" spans="1:6" ht="12.75">
      <c r="A177" s="322"/>
      <c r="B177" s="323"/>
      <c r="C177" s="324"/>
      <c r="D177" s="324"/>
      <c r="E177" s="324"/>
      <c r="F177" s="324"/>
    </row>
    <row r="178" spans="1:6" ht="12.75">
      <c r="A178" s="322"/>
      <c r="B178" s="323"/>
      <c r="C178" s="324"/>
      <c r="D178" s="324"/>
      <c r="E178" s="324"/>
      <c r="F178" s="324"/>
    </row>
    <row r="179" spans="1:6" ht="12.75">
      <c r="A179" s="322"/>
      <c r="B179" s="323"/>
      <c r="C179" s="324"/>
      <c r="D179" s="324"/>
      <c r="E179" s="324"/>
      <c r="F179" s="324"/>
    </row>
    <row r="180" spans="1:6" ht="12.75">
      <c r="A180" s="322"/>
      <c r="B180" s="323"/>
      <c r="C180" s="324"/>
      <c r="D180" s="324"/>
      <c r="E180" s="324"/>
      <c r="F180" s="324"/>
    </row>
    <row r="181" spans="1:6" ht="12.75">
      <c r="A181" s="322"/>
      <c r="B181" s="323"/>
      <c r="C181" s="324"/>
      <c r="D181" s="324"/>
      <c r="E181" s="324"/>
      <c r="F181" s="324"/>
    </row>
    <row r="182" spans="1:6" ht="12.75">
      <c r="A182" s="322"/>
      <c r="B182" s="323"/>
      <c r="C182" s="324"/>
      <c r="D182" s="324"/>
      <c r="E182" s="324"/>
      <c r="F182" s="324"/>
    </row>
    <row r="183" spans="1:6" ht="12.75">
      <c r="A183" s="322"/>
      <c r="B183" s="323"/>
      <c r="C183" s="324"/>
      <c r="D183" s="324"/>
      <c r="E183" s="324"/>
      <c r="F183" s="324"/>
    </row>
    <row r="184" spans="1:6" ht="12.75">
      <c r="A184" s="322"/>
      <c r="B184" s="323"/>
      <c r="C184" s="324"/>
      <c r="D184" s="324"/>
      <c r="E184" s="324"/>
      <c r="F184" s="324"/>
    </row>
    <row r="185" spans="1:6" ht="12.75">
      <c r="A185" s="322"/>
      <c r="B185" s="323"/>
      <c r="C185" s="324"/>
      <c r="D185" s="324"/>
      <c r="E185" s="324"/>
      <c r="F185" s="324"/>
    </row>
    <row r="186" spans="1:6" ht="12.75">
      <c r="A186" s="322"/>
      <c r="B186" s="323"/>
      <c r="C186" s="324"/>
      <c r="D186" s="324"/>
      <c r="E186" s="324"/>
      <c r="F186" s="324"/>
    </row>
    <row r="187" spans="1:6" ht="12.75">
      <c r="A187" s="322"/>
      <c r="B187" s="323"/>
      <c r="C187" s="324"/>
      <c r="D187" s="324"/>
      <c r="E187" s="324"/>
      <c r="F187" s="324"/>
    </row>
    <row r="188" spans="1:6" ht="12.75">
      <c r="A188" s="322"/>
      <c r="B188" s="323"/>
      <c r="C188" s="324"/>
      <c r="D188" s="324"/>
      <c r="E188" s="324"/>
      <c r="F188" s="324"/>
    </row>
    <row r="189" spans="1:6" ht="12.75">
      <c r="A189" s="322"/>
      <c r="B189" s="323"/>
      <c r="C189" s="324"/>
      <c r="D189" s="324"/>
      <c r="E189" s="324"/>
      <c r="F189" s="324"/>
    </row>
    <row r="190" spans="1:6" ht="12.75">
      <c r="A190" s="322"/>
      <c r="B190" s="323"/>
      <c r="C190" s="324"/>
      <c r="D190" s="324"/>
      <c r="E190" s="324"/>
      <c r="F190" s="324"/>
    </row>
    <row r="191" spans="1:6" ht="12.75">
      <c r="A191" s="322"/>
      <c r="B191" s="323"/>
      <c r="C191" s="324"/>
      <c r="D191" s="324"/>
      <c r="E191" s="324"/>
      <c r="F191" s="324"/>
    </row>
    <row r="192" spans="1:6" ht="12.75">
      <c r="A192" s="322"/>
      <c r="B192" s="323"/>
      <c r="C192" s="324"/>
      <c r="D192" s="324"/>
      <c r="E192" s="324"/>
      <c r="F192" s="324"/>
    </row>
    <row r="193" spans="1:6" ht="12.75">
      <c r="A193" s="322"/>
      <c r="B193" s="323"/>
      <c r="C193" s="324"/>
      <c r="D193" s="324"/>
      <c r="E193" s="324"/>
      <c r="F193" s="324"/>
    </row>
    <row r="194" spans="1:6" ht="12.75">
      <c r="A194" s="322"/>
      <c r="B194" s="323"/>
      <c r="C194" s="324"/>
      <c r="D194" s="324"/>
      <c r="E194" s="324"/>
      <c r="F194" s="324"/>
    </row>
    <row r="195" spans="1:6" ht="12.75">
      <c r="A195" s="322"/>
      <c r="B195" s="323"/>
      <c r="C195" s="324"/>
      <c r="D195" s="324"/>
      <c r="E195" s="324"/>
      <c r="F195" s="324"/>
    </row>
    <row r="196" spans="1:6" ht="12.75">
      <c r="A196" s="322"/>
      <c r="B196" s="323"/>
      <c r="C196" s="324"/>
      <c r="D196" s="324"/>
      <c r="E196" s="324"/>
      <c r="F196" s="324"/>
    </row>
    <row r="197" spans="1:6" ht="12.75">
      <c r="A197" s="322"/>
      <c r="B197" s="323"/>
      <c r="C197" s="324"/>
      <c r="D197" s="324"/>
      <c r="E197" s="324"/>
      <c r="F197" s="324"/>
    </row>
    <row r="198" spans="1:6" ht="12.75">
      <c r="A198" s="322"/>
      <c r="B198" s="323"/>
      <c r="C198" s="324"/>
      <c r="D198" s="324"/>
      <c r="E198" s="324"/>
      <c r="F198" s="324"/>
    </row>
  </sheetData>
  <mergeCells count="6">
    <mergeCell ref="A6:F6"/>
    <mergeCell ref="A8:A9"/>
    <mergeCell ref="B8:B9"/>
    <mergeCell ref="C8:C9"/>
    <mergeCell ref="D8:E8"/>
    <mergeCell ref="F8:F9"/>
  </mergeCells>
  <printOptions/>
  <pageMargins left="0.3937007874015748" right="0.3937007874015748" top="0.3937007874015748" bottom="0.3937007874015748"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M208"/>
  <sheetViews>
    <sheetView view="pageBreakPreview" zoomScaleNormal="90" zoomScaleSheetLayoutView="100" zoomScalePageLayoutView="0" workbookViewId="0" topLeftCell="A187">
      <selection activeCell="B2" sqref="B2"/>
    </sheetView>
  </sheetViews>
  <sheetFormatPr defaultColWidth="9.140625" defaultRowHeight="12.75"/>
  <cols>
    <col min="1" max="1" width="9.140625" style="10" customWidth="1"/>
    <col min="2" max="2" width="39.00390625" style="15" customWidth="1"/>
    <col min="3" max="3" width="13.7109375" style="10" bestFit="1" customWidth="1"/>
    <col min="4" max="4" width="12.57421875" style="10" bestFit="1" customWidth="1"/>
    <col min="5" max="5" width="13.57421875" style="10" customWidth="1"/>
    <col min="6" max="6" width="12.57421875" style="10" bestFit="1" customWidth="1"/>
    <col min="7" max="7" width="11.57421875" style="10" bestFit="1" customWidth="1"/>
    <col min="8" max="8" width="10.57421875" style="10" bestFit="1" customWidth="1"/>
    <col min="9" max="9" width="13.421875" style="10" customWidth="1"/>
    <col min="10" max="11" width="12.57421875" style="10" bestFit="1" customWidth="1"/>
    <col min="12" max="12" width="14.140625" style="10" customWidth="1"/>
    <col min="13" max="13" width="13.7109375" style="10" bestFit="1" customWidth="1"/>
    <col min="14" max="16384" width="9.140625" style="10" customWidth="1"/>
  </cols>
  <sheetData>
    <row r="1" ht="15.75">
      <c r="K1" s="12" t="s">
        <v>358</v>
      </c>
    </row>
    <row r="2" ht="15.75">
      <c r="K2" s="12" t="s">
        <v>35</v>
      </c>
    </row>
    <row r="3" ht="15.75">
      <c r="K3" s="12" t="s">
        <v>281</v>
      </c>
    </row>
    <row r="4" ht="15.75">
      <c r="K4" s="12" t="s">
        <v>604</v>
      </c>
    </row>
    <row r="5" spans="11:12" ht="15.75">
      <c r="K5" s="556" t="s">
        <v>21</v>
      </c>
      <c r="L5" s="100"/>
    </row>
    <row r="6" ht="12.75">
      <c r="K6" s="11"/>
    </row>
    <row r="7" spans="1:13" ht="15.75">
      <c r="A7" s="474" t="s">
        <v>601</v>
      </c>
      <c r="B7" s="475"/>
      <c r="C7" s="475"/>
      <c r="D7" s="475"/>
      <c r="E7" s="475"/>
      <c r="F7" s="475"/>
      <c r="G7" s="475"/>
      <c r="H7" s="475"/>
      <c r="I7" s="475"/>
      <c r="J7" s="475"/>
      <c r="K7" s="475"/>
      <c r="L7" s="475"/>
      <c r="M7" s="475"/>
    </row>
    <row r="8" spans="1:13" ht="12.75">
      <c r="A8" s="476"/>
      <c r="B8" s="477"/>
      <c r="C8" s="477"/>
      <c r="D8" s="477"/>
      <c r="E8" s="477"/>
      <c r="F8" s="477"/>
      <c r="G8" s="477"/>
      <c r="H8" s="477"/>
      <c r="I8" s="477"/>
      <c r="J8" s="477"/>
      <c r="K8" s="477"/>
      <c r="L8" s="477"/>
      <c r="M8" s="477"/>
    </row>
    <row r="9" ht="12.75">
      <c r="M9" s="16" t="s">
        <v>282</v>
      </c>
    </row>
    <row r="10" spans="1:13" ht="15">
      <c r="A10" s="479" t="s">
        <v>637</v>
      </c>
      <c r="B10" s="480" t="s">
        <v>638</v>
      </c>
      <c r="C10" s="480" t="s">
        <v>759</v>
      </c>
      <c r="D10" s="480"/>
      <c r="E10" s="480"/>
      <c r="F10" s="480" t="s">
        <v>382</v>
      </c>
      <c r="G10" s="480"/>
      <c r="H10" s="480"/>
      <c r="I10" s="480"/>
      <c r="J10" s="480"/>
      <c r="K10" s="480"/>
      <c r="L10" s="480"/>
      <c r="M10" s="481" t="s">
        <v>705</v>
      </c>
    </row>
    <row r="11" spans="1:13" ht="12.75">
      <c r="A11" s="478"/>
      <c r="B11" s="480"/>
      <c r="C11" s="480" t="s">
        <v>704</v>
      </c>
      <c r="D11" s="478" t="s">
        <v>383</v>
      </c>
      <c r="E11" s="478"/>
      <c r="F11" s="480" t="s">
        <v>704</v>
      </c>
      <c r="G11" s="478" t="s">
        <v>368</v>
      </c>
      <c r="H11" s="478" t="s">
        <v>383</v>
      </c>
      <c r="I11" s="478"/>
      <c r="J11" s="478" t="s">
        <v>369</v>
      </c>
      <c r="K11" s="478" t="s">
        <v>383</v>
      </c>
      <c r="L11" s="478"/>
      <c r="M11" s="481"/>
    </row>
    <row r="12" spans="1:13" ht="12.75" customHeight="1">
      <c r="A12" s="478"/>
      <c r="B12" s="480"/>
      <c r="C12" s="480"/>
      <c r="D12" s="478" t="s">
        <v>283</v>
      </c>
      <c r="E12" s="478" t="s">
        <v>367</v>
      </c>
      <c r="F12" s="480"/>
      <c r="G12" s="478"/>
      <c r="H12" s="478" t="s">
        <v>283</v>
      </c>
      <c r="I12" s="478" t="s">
        <v>367</v>
      </c>
      <c r="J12" s="478"/>
      <c r="K12" s="478" t="s">
        <v>370</v>
      </c>
      <c r="L12" s="19" t="s">
        <v>383</v>
      </c>
      <c r="M12" s="481"/>
    </row>
    <row r="13" spans="1:13" ht="63.75" customHeight="1">
      <c r="A13" s="478"/>
      <c r="B13" s="480"/>
      <c r="C13" s="480"/>
      <c r="D13" s="478"/>
      <c r="E13" s="478"/>
      <c r="F13" s="480"/>
      <c r="G13" s="478"/>
      <c r="H13" s="478"/>
      <c r="I13" s="478"/>
      <c r="J13" s="478"/>
      <c r="K13" s="478"/>
      <c r="L13" s="17" t="s">
        <v>732</v>
      </c>
      <c r="M13" s="481"/>
    </row>
    <row r="14" spans="1:13" ht="12.75">
      <c r="A14" s="19">
        <v>1</v>
      </c>
      <c r="B14" s="19">
        <v>2</v>
      </c>
      <c r="C14" s="19">
        <v>3</v>
      </c>
      <c r="D14" s="19">
        <v>4</v>
      </c>
      <c r="E14" s="19">
        <v>5</v>
      </c>
      <c r="F14" s="19">
        <v>6</v>
      </c>
      <c r="G14" s="19">
        <v>7</v>
      </c>
      <c r="H14" s="19">
        <v>8</v>
      </c>
      <c r="I14" s="19">
        <v>9</v>
      </c>
      <c r="J14" s="19">
        <v>10</v>
      </c>
      <c r="K14" s="19">
        <v>11</v>
      </c>
      <c r="L14" s="19">
        <v>12</v>
      </c>
      <c r="M14" s="18" t="s">
        <v>448</v>
      </c>
    </row>
    <row r="15" spans="1:13" ht="12.75">
      <c r="A15" s="20" t="s">
        <v>284</v>
      </c>
      <c r="B15" s="6" t="s">
        <v>639</v>
      </c>
      <c r="C15" s="21">
        <f>SUM(C16)</f>
        <v>128055040</v>
      </c>
      <c r="D15" s="21">
        <f>SUM(D16)</f>
        <v>89060709</v>
      </c>
      <c r="E15" s="21">
        <f>SUM(E16)</f>
        <v>2952151</v>
      </c>
      <c r="F15" s="21">
        <f>SUM(F16)</f>
        <v>1608040</v>
      </c>
      <c r="G15" s="21">
        <v>1179140</v>
      </c>
      <c r="H15" s="21">
        <v>476900</v>
      </c>
      <c r="I15" s="21">
        <v>174800</v>
      </c>
      <c r="J15" s="21">
        <f>SUM(J16)</f>
        <v>428900</v>
      </c>
      <c r="K15" s="21">
        <f>SUM(K16)</f>
        <v>292100</v>
      </c>
      <c r="L15" s="21">
        <f>SUM(L16)</f>
        <v>292100</v>
      </c>
      <c r="M15" s="21">
        <f aca="true" t="shared" si="0" ref="M15:M54">C15+F15</f>
        <v>129663080</v>
      </c>
    </row>
    <row r="16" spans="1:13" ht="12.75">
      <c r="A16" s="22" t="s">
        <v>449</v>
      </c>
      <c r="B16" s="1" t="s">
        <v>706</v>
      </c>
      <c r="C16" s="23">
        <f>Прил3!C16+Прил3!C26+Прил3!C47+Прил3!C60+Прил3!C74+Прил3!C104+Прил3!C211+Прил3!C215+Прил3!C223+Прил3!C225+Прил3!C240+Прил3!C244+Прил3!C254+Прил3!C272+Прил3!C280+Прил3!C290+Прил3!C299+Прил3!C306</f>
        <v>128055040</v>
      </c>
      <c r="D16" s="23">
        <f>Прил3!D16+Прил3!D26+Прил3!D47+Прил3!D60+Прил3!D74+Прил3!D104+Прил3!D211+Прил3!D215+Прил3!D223+Прил3!D225+Прил3!D240+Прил3!D244+Прил3!D254+Прил3!D272+Прил3!D280+Прил3!D290+Прил3!D299+Прил3!D306</f>
        <v>89060709</v>
      </c>
      <c r="E16" s="23">
        <f>Прил3!E16+Прил3!E26+Прил3!E47+Прил3!E60+Прил3!E74+Прил3!E104+Прил3!E211+Прил3!E215+Прил3!E223+Прил3!E225+Прил3!E240+Прил3!E244+Прил3!E254+Прил3!E272+Прил3!E280+Прил3!E290+Прил3!E299+Прил3!E306</f>
        <v>2952151</v>
      </c>
      <c r="F16" s="23">
        <f>Прил3!F16+Прил3!F26+Прил3!F47+Прил3!F60+Прил3!F74+Прил3!F104+Прил3!F211+Прил3!F215+Прил3!F223+Прил3!F225+Прил3!F240+Прил3!F244+Прил3!F254+Прил3!F272+Прил3!F280+Прил3!F290+Прил3!F299+Прил3!F306</f>
        <v>1608040</v>
      </c>
      <c r="G16" s="23">
        <f>Прил3!G16+Прил3!G26+Прил3!G47+Прил3!G60+Прил3!G74+Прил3!G104+Прил3!G211+Прил3!G215+Прил3!G223+Прил3!G225+Прил3!G240+Прил3!G244+Прил3!G254+Прил3!G272+Прил3!G280+Прил3!G290+Прил3!G299+Прил3!G306</f>
        <v>1179140</v>
      </c>
      <c r="H16" s="23">
        <f>Прил3!H16+Прил3!H26+Прил3!H47+Прил3!H60+Прил3!H74+Прил3!H104+Прил3!H211+Прил3!H215+Прил3!H223+Прил3!H225+Прил3!H240+Прил3!H244+Прил3!H254+Прил3!H272+Прил3!H280+Прил3!H290+Прил3!H299+Прил3!H306</f>
        <v>476900</v>
      </c>
      <c r="I16" s="23">
        <f>Прил3!I16+Прил3!I26+Прил3!I47+Прил3!I60+Прил3!I74+Прил3!I104+Прил3!I211+Прил3!I215+Прил3!I223+Прил3!I225+Прил3!I240+Прил3!I244+Прил3!I254+Прил3!I272+Прил3!I280+Прил3!I290+Прил3!I299+Прил3!I306</f>
        <v>174800</v>
      </c>
      <c r="J16" s="23">
        <f>Прил3!J16+Прил3!J26+Прил3!J47+Прил3!J60+Прил3!J74+Прил3!J104+Прил3!J211+Прил3!J215+Прил3!J223+Прил3!J225+Прил3!J240+Прил3!J244+Прил3!J254+Прил3!J272+Прил3!J280+Прил3!J290+Прил3!J299+Прил3!J306</f>
        <v>428900</v>
      </c>
      <c r="K16" s="23">
        <f>Прил3!K16+Прил3!K26+Прил3!K47+Прил3!K60+Прил3!K74+Прил3!K104+Прил3!K211+Прил3!K215+Прил3!K223+Прил3!K225+Прил3!K240+Прил3!K244+Прил3!K254+Прил3!K272+Прил3!K280+Прил3!K290+Прил3!K299+Прил3!K306</f>
        <v>292100</v>
      </c>
      <c r="L16" s="23">
        <f>Прил3!L16+Прил3!L26+Прил3!L47+Прил3!L60+Прил3!L74+Прил3!L104+Прил3!L211+Прил3!L215+Прил3!L223+Прил3!L225+Прил3!L240+Прил3!L244+Прил3!L254+Прил3!L272+Прил3!L280+Прил3!L290+Прил3!L299+Прил3!L306</f>
        <v>292100</v>
      </c>
      <c r="M16" s="24">
        <f t="shared" si="0"/>
        <v>129663080</v>
      </c>
    </row>
    <row r="17" spans="1:13" ht="12.75">
      <c r="A17" s="20" t="s">
        <v>453</v>
      </c>
      <c r="B17" s="5" t="s">
        <v>709</v>
      </c>
      <c r="C17" s="21">
        <f>C18+C19+C21+C24+C25+C26+C27+C28</f>
        <v>686738987.65</v>
      </c>
      <c r="D17" s="21">
        <f>SUM(D18:D28)</f>
        <v>441302061.52</v>
      </c>
      <c r="E17" s="21">
        <f aca="true" t="shared" si="1" ref="E17:K17">E18+E19+E21+E24+E25+E26+E27+E28</f>
        <v>42665260</v>
      </c>
      <c r="F17" s="21">
        <f t="shared" si="1"/>
        <v>21874320</v>
      </c>
      <c r="G17" s="21">
        <f t="shared" si="1"/>
        <v>21874320</v>
      </c>
      <c r="H17" s="21">
        <f t="shared" si="1"/>
        <v>0</v>
      </c>
      <c r="I17" s="21">
        <f t="shared" si="1"/>
        <v>304760</v>
      </c>
      <c r="J17" s="21">
        <f t="shared" si="1"/>
        <v>0</v>
      </c>
      <c r="K17" s="21">
        <f t="shared" si="1"/>
        <v>0</v>
      </c>
      <c r="L17" s="21"/>
      <c r="M17" s="21">
        <f t="shared" si="0"/>
        <v>708613307.65</v>
      </c>
    </row>
    <row r="18" spans="1:13" ht="12.75">
      <c r="A18" s="22" t="s">
        <v>454</v>
      </c>
      <c r="B18" s="1" t="s">
        <v>128</v>
      </c>
      <c r="C18" s="23">
        <f>Прил3!C28</f>
        <v>221421845</v>
      </c>
      <c r="D18" s="23">
        <f>Прил3!D28</f>
        <v>138872975</v>
      </c>
      <c r="E18" s="23">
        <f>Прил3!E28</f>
        <v>19283860</v>
      </c>
      <c r="F18" s="23">
        <f>Прил3!F28</f>
        <v>19877040</v>
      </c>
      <c r="G18" s="23">
        <f>Прил3!G28</f>
        <v>19877040</v>
      </c>
      <c r="H18" s="23">
        <f>Прил3!H28</f>
        <v>0</v>
      </c>
      <c r="I18" s="23">
        <f>Прил3!I28</f>
        <v>3040</v>
      </c>
      <c r="J18" s="23">
        <f>Прил3!J28</f>
        <v>0</v>
      </c>
      <c r="K18" s="23">
        <f>Прил3!K28</f>
        <v>0</v>
      </c>
      <c r="L18" s="23"/>
      <c r="M18" s="24">
        <f t="shared" si="0"/>
        <v>241298885</v>
      </c>
    </row>
    <row r="19" spans="1:13" ht="51">
      <c r="A19" s="22" t="s">
        <v>551</v>
      </c>
      <c r="B19" s="1" t="s">
        <v>582</v>
      </c>
      <c r="C19" s="23">
        <f>SUM(Прил3!C29)</f>
        <v>415507158</v>
      </c>
      <c r="D19" s="23">
        <f>SUM(Прил3!D29)</f>
        <v>272784765</v>
      </c>
      <c r="E19" s="23">
        <f>SUM(Прил3!E29)</f>
        <v>22662820</v>
      </c>
      <c r="F19" s="23">
        <f>SUM(Прил3!F29)</f>
        <v>1964220</v>
      </c>
      <c r="G19" s="23">
        <f>SUM(Прил3!G29)</f>
        <v>1964220</v>
      </c>
      <c r="H19" s="23">
        <f>SUM(Прил3!H29)</f>
        <v>0</v>
      </c>
      <c r="I19" s="23">
        <f>SUM(Прил3!I29)</f>
        <v>301720</v>
      </c>
      <c r="J19" s="23">
        <f>SUM(Прил3!J29)</f>
        <v>0</v>
      </c>
      <c r="K19" s="23">
        <f>SUM(Прил3!K29)</f>
        <v>0</v>
      </c>
      <c r="L19" s="23"/>
      <c r="M19" s="24">
        <f t="shared" si="0"/>
        <v>417471378</v>
      </c>
    </row>
    <row r="20" spans="1:13" ht="51">
      <c r="A20" s="22"/>
      <c r="B20" s="2" t="s">
        <v>285</v>
      </c>
      <c r="C20" s="23">
        <v>5714440</v>
      </c>
      <c r="D20" s="23">
        <v>0</v>
      </c>
      <c r="E20" s="23">
        <v>0</v>
      </c>
      <c r="F20" s="23">
        <v>0</v>
      </c>
      <c r="G20" s="23">
        <v>0</v>
      </c>
      <c r="H20" s="23">
        <v>0</v>
      </c>
      <c r="I20" s="23">
        <v>0</v>
      </c>
      <c r="J20" s="23">
        <v>0</v>
      </c>
      <c r="K20" s="23">
        <v>0</v>
      </c>
      <c r="L20" s="23"/>
      <c r="M20" s="24">
        <f t="shared" si="0"/>
        <v>5714440</v>
      </c>
    </row>
    <row r="21" spans="1:13" ht="25.5">
      <c r="A21" s="22" t="s">
        <v>395</v>
      </c>
      <c r="B21" s="1" t="s">
        <v>389</v>
      </c>
      <c r="C21" s="23">
        <f>SUM(Прил3!C105+Прил3!C212)</f>
        <v>8254022.65</v>
      </c>
      <c r="D21" s="23">
        <f>SUM(Прил3!D212)</f>
        <v>33261.520000000004</v>
      </c>
      <c r="E21" s="23">
        <f>SUM(Прил3!E105)</f>
        <v>0</v>
      </c>
      <c r="F21" s="23">
        <f>SUM(Прил3!F105)</f>
        <v>0</v>
      </c>
      <c r="G21" s="23">
        <f>SUM(Прил3!G105)</f>
        <v>0</v>
      </c>
      <c r="H21" s="23">
        <f>SUM(Прил3!H105)</f>
        <v>0</v>
      </c>
      <c r="I21" s="23">
        <f>SUM(Прил3!I105)</f>
        <v>0</v>
      </c>
      <c r="J21" s="23">
        <f>SUM(Прил3!J105)</f>
        <v>0</v>
      </c>
      <c r="K21" s="23">
        <f>SUM(Прил3!K105)</f>
        <v>0</v>
      </c>
      <c r="L21" s="23"/>
      <c r="M21" s="24">
        <f t="shared" si="0"/>
        <v>8254022.65</v>
      </c>
    </row>
    <row r="22" spans="1:13" ht="102">
      <c r="A22" s="22"/>
      <c r="B22" s="1" t="s">
        <v>388</v>
      </c>
      <c r="C22" s="23">
        <f>SUM(Прил3!C106)</f>
        <v>1760160</v>
      </c>
      <c r="D22" s="23">
        <v>0</v>
      </c>
      <c r="E22" s="23">
        <v>0</v>
      </c>
      <c r="F22" s="23">
        <v>0</v>
      </c>
      <c r="G22" s="23">
        <v>0</v>
      </c>
      <c r="H22" s="23">
        <v>0</v>
      </c>
      <c r="I22" s="23">
        <v>0</v>
      </c>
      <c r="J22" s="23">
        <v>0</v>
      </c>
      <c r="K22" s="23">
        <v>0</v>
      </c>
      <c r="L22" s="23"/>
      <c r="M22" s="24">
        <f t="shared" si="0"/>
        <v>1760160</v>
      </c>
    </row>
    <row r="23" spans="1:13" ht="102">
      <c r="A23" s="22"/>
      <c r="B23" s="1" t="s">
        <v>286</v>
      </c>
      <c r="C23" s="23">
        <f>SUM(Прил3!C107)</f>
        <v>6447840</v>
      </c>
      <c r="D23" s="23">
        <v>0</v>
      </c>
      <c r="E23" s="23">
        <v>0</v>
      </c>
      <c r="F23" s="23">
        <v>0</v>
      </c>
      <c r="G23" s="23">
        <v>0</v>
      </c>
      <c r="H23" s="23">
        <v>0</v>
      </c>
      <c r="I23" s="23">
        <v>0</v>
      </c>
      <c r="J23" s="23">
        <v>0</v>
      </c>
      <c r="K23" s="23">
        <v>0</v>
      </c>
      <c r="L23" s="23"/>
      <c r="M23" s="24">
        <f t="shared" si="0"/>
        <v>6447840</v>
      </c>
    </row>
    <row r="24" spans="1:13" ht="27" customHeight="1">
      <c r="A24" s="22" t="s">
        <v>455</v>
      </c>
      <c r="B24" s="1" t="s">
        <v>34</v>
      </c>
      <c r="C24" s="23">
        <f>SUM(Прил3!C31)</f>
        <v>23685491</v>
      </c>
      <c r="D24" s="23">
        <f>SUM(Прил3!D31)</f>
        <v>16964240</v>
      </c>
      <c r="E24" s="23">
        <f>SUM(Прил3!E31)</f>
        <v>453340</v>
      </c>
      <c r="F24" s="23">
        <f>SUM(Прил3!F31)</f>
        <v>33060</v>
      </c>
      <c r="G24" s="23">
        <f>SUM(Прил3!G31)</f>
        <v>33060</v>
      </c>
      <c r="H24" s="23">
        <f>SUM(Прил3!H31)</f>
        <v>0</v>
      </c>
      <c r="I24" s="23">
        <f>SUM(Прил3!I31)</f>
        <v>0</v>
      </c>
      <c r="J24" s="23">
        <f>SUM(Прил3!J31)</f>
        <v>0</v>
      </c>
      <c r="K24" s="23">
        <f>SUM(Прил3!K31)</f>
        <v>0</v>
      </c>
      <c r="L24" s="23"/>
      <c r="M24" s="24">
        <f t="shared" si="0"/>
        <v>23718551</v>
      </c>
    </row>
    <row r="25" spans="1:13" ht="25.5">
      <c r="A25" s="22" t="s">
        <v>456</v>
      </c>
      <c r="B25" s="1" t="s">
        <v>13</v>
      </c>
      <c r="C25" s="23">
        <f>SUM(Прил3!C32)</f>
        <v>6678640</v>
      </c>
      <c r="D25" s="23">
        <f>SUM(Прил3!D32)</f>
        <v>4883140</v>
      </c>
      <c r="E25" s="23">
        <f>SUM(Прил3!E32)</f>
        <v>0</v>
      </c>
      <c r="F25" s="23">
        <f>SUM(Прил3!F32)</f>
        <v>0</v>
      </c>
      <c r="G25" s="23">
        <f>SUM(Прил3!G32)</f>
        <v>0</v>
      </c>
      <c r="H25" s="23">
        <f>SUM(Прил3!H32)</f>
        <v>0</v>
      </c>
      <c r="I25" s="23">
        <f>SUM(Прил3!I32)</f>
        <v>0</v>
      </c>
      <c r="J25" s="23">
        <f>SUM(Прил3!J32)</f>
        <v>0</v>
      </c>
      <c r="K25" s="23">
        <f>SUM(Прил3!K32)</f>
        <v>0</v>
      </c>
      <c r="L25" s="23"/>
      <c r="M25" s="24">
        <f t="shared" si="0"/>
        <v>6678640</v>
      </c>
    </row>
    <row r="26" spans="1:13" ht="25.5">
      <c r="A26" s="22" t="s">
        <v>457</v>
      </c>
      <c r="B26" s="1" t="s">
        <v>14</v>
      </c>
      <c r="C26" s="23">
        <f>SUM(Прил3!C33)</f>
        <v>7076947</v>
      </c>
      <c r="D26" s="23">
        <f>SUM(Прил3!D33)</f>
        <v>5183480</v>
      </c>
      <c r="E26" s="23">
        <f>SUM(Прил3!E33)</f>
        <v>0</v>
      </c>
      <c r="F26" s="23">
        <f>SUM(Прил3!F33)</f>
        <v>0</v>
      </c>
      <c r="G26" s="23">
        <f>SUM(Прил3!G33)</f>
        <v>0</v>
      </c>
      <c r="H26" s="23">
        <f>SUM(Прил3!H33)</f>
        <v>0</v>
      </c>
      <c r="I26" s="23">
        <f>SUM(Прил3!I33)</f>
        <v>0</v>
      </c>
      <c r="J26" s="23">
        <f>SUM(Прил3!J33)</f>
        <v>0</v>
      </c>
      <c r="K26" s="23">
        <f>SUM(Прил3!K33)</f>
        <v>0</v>
      </c>
      <c r="L26" s="23"/>
      <c r="M26" s="24">
        <f t="shared" si="0"/>
        <v>7076947</v>
      </c>
    </row>
    <row r="27" spans="1:13" ht="25.5">
      <c r="A27" s="22" t="s">
        <v>458</v>
      </c>
      <c r="B27" s="1" t="s">
        <v>362</v>
      </c>
      <c r="C27" s="23">
        <f>SUM(Прил3!C34)</f>
        <v>4004836</v>
      </c>
      <c r="D27" s="23">
        <f>SUM(Прил3!D34)</f>
        <v>2580200</v>
      </c>
      <c r="E27" s="23">
        <f>SUM(Прил3!E34)</f>
        <v>265240</v>
      </c>
      <c r="F27" s="23">
        <f>SUM(Прил3!F34)</f>
        <v>0</v>
      </c>
      <c r="G27" s="23">
        <f>SUM(Прил3!G34)</f>
        <v>0</v>
      </c>
      <c r="H27" s="23">
        <f>SUM(Прил3!H34)</f>
        <v>0</v>
      </c>
      <c r="I27" s="23">
        <f>SUM(Прил3!I34)</f>
        <v>0</v>
      </c>
      <c r="J27" s="23">
        <f>SUM(Прил3!J34)</f>
        <v>0</v>
      </c>
      <c r="K27" s="23">
        <f>SUM(Прил3!K34)</f>
        <v>0</v>
      </c>
      <c r="L27" s="23"/>
      <c r="M27" s="24">
        <f t="shared" si="0"/>
        <v>4004836</v>
      </c>
    </row>
    <row r="28" spans="1:13" ht="38.25">
      <c r="A28" s="22" t="s">
        <v>459</v>
      </c>
      <c r="B28" s="1" t="s">
        <v>749</v>
      </c>
      <c r="C28" s="23">
        <f>SUM(Прил3!C35)</f>
        <v>110048</v>
      </c>
      <c r="D28" s="23">
        <f>SUM(Прил3!D35)</f>
        <v>0</v>
      </c>
      <c r="E28" s="23">
        <f>SUM(Прил3!E35)</f>
        <v>0</v>
      </c>
      <c r="F28" s="23">
        <f>SUM(Прил3!F35)</f>
        <v>0</v>
      </c>
      <c r="G28" s="23">
        <f>SUM(Прил3!G35)</f>
        <v>0</v>
      </c>
      <c r="H28" s="23">
        <f>SUM(Прил3!H35)</f>
        <v>0</v>
      </c>
      <c r="I28" s="23">
        <f>SUM(Прил3!I35)</f>
        <v>0</v>
      </c>
      <c r="J28" s="23">
        <f>SUM(Прил3!J35)</f>
        <v>0</v>
      </c>
      <c r="K28" s="23">
        <f>SUM(Прил3!K35)</f>
        <v>0</v>
      </c>
      <c r="L28" s="23"/>
      <c r="M28" s="24">
        <f t="shared" si="0"/>
        <v>110048</v>
      </c>
    </row>
    <row r="29" spans="1:13" ht="12.75">
      <c r="A29" s="20" t="s">
        <v>470</v>
      </c>
      <c r="B29" s="4" t="s">
        <v>641</v>
      </c>
      <c r="C29" s="21">
        <f>SUM(C30+C32+C34+C36+C37+C38+C41+C42+C44+C45+C46+C47)</f>
        <v>604997669</v>
      </c>
      <c r="D29" s="21">
        <f aca="true" t="shared" si="2" ref="D29:K29">SUM(D30+D32+D34+D36+D37+D38+D41+D42+D44+D45+D46+D47)</f>
        <v>351710878</v>
      </c>
      <c r="E29" s="21">
        <f t="shared" si="2"/>
        <v>22418098</v>
      </c>
      <c r="F29" s="21">
        <f t="shared" si="2"/>
        <v>19998982</v>
      </c>
      <c r="G29" s="21">
        <f t="shared" si="2"/>
        <v>16657600</v>
      </c>
      <c r="H29" s="21">
        <f t="shared" si="2"/>
        <v>5385249</v>
      </c>
      <c r="I29" s="21">
        <f t="shared" si="2"/>
        <v>1065243</v>
      </c>
      <c r="J29" s="21">
        <f t="shared" si="2"/>
        <v>3341382</v>
      </c>
      <c r="K29" s="21">
        <f t="shared" si="2"/>
        <v>2339280</v>
      </c>
      <c r="L29" s="21"/>
      <c r="M29" s="21">
        <f t="shared" si="0"/>
        <v>624996651</v>
      </c>
    </row>
    <row r="30" spans="1:13" ht="12.75">
      <c r="A30" s="22" t="s">
        <v>471</v>
      </c>
      <c r="B30" s="1" t="s">
        <v>279</v>
      </c>
      <c r="C30" s="23">
        <f>SUM(Прил3!C76)</f>
        <v>262646153</v>
      </c>
      <c r="D30" s="23">
        <f>SUM(Прил3!D76)</f>
        <v>141600826</v>
      </c>
      <c r="E30" s="23">
        <f>SUM(Прил3!E76)</f>
        <v>11813820</v>
      </c>
      <c r="F30" s="23">
        <f>SUM(Прил3!F76)</f>
        <v>8359240</v>
      </c>
      <c r="G30" s="23">
        <f>SUM(Прил3!G76)</f>
        <v>8065458</v>
      </c>
      <c r="H30" s="23">
        <f>SUM(Прил3!H76)</f>
        <v>2953249</v>
      </c>
      <c r="I30" s="23">
        <f>SUM(Прил3!I76)</f>
        <v>528683</v>
      </c>
      <c r="J30" s="23">
        <f>SUM(Прил3!J76)</f>
        <v>293782</v>
      </c>
      <c r="K30" s="23">
        <f>SUM(Прил3!K76)</f>
        <v>0</v>
      </c>
      <c r="L30" s="23"/>
      <c r="M30" s="24">
        <f t="shared" si="0"/>
        <v>271005393</v>
      </c>
    </row>
    <row r="31" spans="1:13" ht="48">
      <c r="A31" s="22"/>
      <c r="B31" s="14" t="s">
        <v>750</v>
      </c>
      <c r="C31" s="23">
        <f>SUM(Прил3!C77)</f>
        <v>50961700</v>
      </c>
      <c r="D31" s="23"/>
      <c r="E31" s="23"/>
      <c r="F31" s="23"/>
      <c r="G31" s="23"/>
      <c r="H31" s="23"/>
      <c r="I31" s="23"/>
      <c r="J31" s="23"/>
      <c r="K31" s="23"/>
      <c r="L31" s="23"/>
      <c r="M31" s="24">
        <f t="shared" si="0"/>
        <v>50961700</v>
      </c>
    </row>
    <row r="32" spans="1:13" ht="12.75">
      <c r="A32" s="22" t="s">
        <v>472</v>
      </c>
      <c r="B32" s="1" t="s">
        <v>585</v>
      </c>
      <c r="C32" s="23">
        <f>SUM(Прил3!C78)</f>
        <v>129826954</v>
      </c>
      <c r="D32" s="23">
        <f>SUM(Прил3!D78)</f>
        <v>80152183</v>
      </c>
      <c r="E32" s="23">
        <f>SUM(Прил3!E78)</f>
        <v>4535300</v>
      </c>
      <c r="F32" s="23">
        <f>SUM(Прил3!F78)</f>
        <v>6334600</v>
      </c>
      <c r="G32" s="23">
        <f>SUM(Прил3!G78)</f>
        <v>5764600</v>
      </c>
      <c r="H32" s="23">
        <f>SUM(Прил3!H78)</f>
        <v>1520000</v>
      </c>
      <c r="I32" s="23">
        <f>SUM(Прил3!I78)</f>
        <v>95000</v>
      </c>
      <c r="J32" s="23">
        <f>SUM(Прил3!J78)</f>
        <v>570000</v>
      </c>
      <c r="K32" s="23">
        <f>SUM(Прил3!K78)</f>
        <v>0</v>
      </c>
      <c r="L32" s="23"/>
      <c r="M32" s="24">
        <f t="shared" si="0"/>
        <v>136161554</v>
      </c>
    </row>
    <row r="33" spans="1:13" ht="48">
      <c r="A33" s="22"/>
      <c r="B33" s="14" t="s">
        <v>750</v>
      </c>
      <c r="C33" s="23">
        <f>SUM(Прил3!C79)</f>
        <v>14276100</v>
      </c>
      <c r="D33" s="23"/>
      <c r="E33" s="23"/>
      <c r="F33" s="23"/>
      <c r="G33" s="23"/>
      <c r="H33" s="23"/>
      <c r="I33" s="23"/>
      <c r="J33" s="23"/>
      <c r="K33" s="23"/>
      <c r="L33" s="23"/>
      <c r="M33" s="24">
        <f t="shared" si="0"/>
        <v>14276100</v>
      </c>
    </row>
    <row r="34" spans="1:13" ht="12.75">
      <c r="A34" s="22" t="s">
        <v>473</v>
      </c>
      <c r="B34" s="1" t="s">
        <v>424</v>
      </c>
      <c r="C34" s="23">
        <f>SUM(Прил3!C80)</f>
        <v>74829333</v>
      </c>
      <c r="D34" s="23">
        <f>SUM(Прил3!D80)</f>
        <v>44073493</v>
      </c>
      <c r="E34" s="23">
        <f>SUM(Прил3!E80)</f>
        <v>3609620</v>
      </c>
      <c r="F34" s="23">
        <f>SUM(Прил3!F80)</f>
        <v>3099280</v>
      </c>
      <c r="G34" s="23">
        <f>SUM(Прил3!G80)</f>
        <v>760000</v>
      </c>
      <c r="H34" s="23">
        <f>SUM(Прил3!H80)</f>
        <v>380000</v>
      </c>
      <c r="I34" s="23">
        <f>SUM(Прил3!I80)</f>
        <v>41800</v>
      </c>
      <c r="J34" s="23">
        <f>SUM(Прил3!J80)</f>
        <v>2339280</v>
      </c>
      <c r="K34" s="23">
        <f>SUM(Прил3!K80)</f>
        <v>2339280</v>
      </c>
      <c r="L34" s="23"/>
      <c r="M34" s="24">
        <f t="shared" si="0"/>
        <v>77928613</v>
      </c>
    </row>
    <row r="35" spans="1:13" ht="48">
      <c r="A35" s="22"/>
      <c r="B35" s="14" t="s">
        <v>750</v>
      </c>
      <c r="C35" s="23">
        <f>SUM(Прил3!C81)</f>
        <v>10406300</v>
      </c>
      <c r="D35" s="23"/>
      <c r="E35" s="23"/>
      <c r="F35" s="23"/>
      <c r="G35" s="23"/>
      <c r="H35" s="23"/>
      <c r="I35" s="23"/>
      <c r="J35" s="23"/>
      <c r="K35" s="23"/>
      <c r="L35" s="23"/>
      <c r="M35" s="24">
        <f t="shared" si="0"/>
        <v>10406300</v>
      </c>
    </row>
    <row r="36" spans="1:13" ht="25.5">
      <c r="A36" s="22" t="s">
        <v>474</v>
      </c>
      <c r="B36" s="1" t="s">
        <v>737</v>
      </c>
      <c r="C36" s="23">
        <f>SUM(Прил3!C82)</f>
        <v>3114460</v>
      </c>
      <c r="D36" s="23">
        <f>SUM(Прил3!D82)</f>
        <v>0</v>
      </c>
      <c r="E36" s="23">
        <f>SUM(Прил3!E82)</f>
        <v>0</v>
      </c>
      <c r="F36" s="23">
        <f>SUM(Прил3!F82)</f>
        <v>0</v>
      </c>
      <c r="G36" s="23">
        <f>SUM(Прил3!G82)</f>
        <v>0</v>
      </c>
      <c r="H36" s="23">
        <f>SUM(Прил3!H82)</f>
        <v>0</v>
      </c>
      <c r="I36" s="23">
        <f>SUM(Прил3!I82)</f>
        <v>0</v>
      </c>
      <c r="J36" s="23">
        <f>SUM(Прил3!J82)</f>
        <v>0</v>
      </c>
      <c r="K36" s="23">
        <f>SUM(Прил3!K82)</f>
        <v>0</v>
      </c>
      <c r="L36" s="23"/>
      <c r="M36" s="24">
        <f t="shared" si="0"/>
        <v>3114460</v>
      </c>
    </row>
    <row r="37" spans="1:13" ht="25.5" customHeight="1">
      <c r="A37" s="22" t="s">
        <v>475</v>
      </c>
      <c r="B37" s="1" t="s">
        <v>600</v>
      </c>
      <c r="C37" s="23">
        <f>SUM(Прил3!C83)</f>
        <v>1437716</v>
      </c>
      <c r="D37" s="23">
        <f>SUM(Прил3!D83)</f>
        <v>1002240</v>
      </c>
      <c r="E37" s="23">
        <f>SUM(Прил3!E83)</f>
        <v>46356</v>
      </c>
      <c r="F37" s="23">
        <f>SUM(Прил3!F83)</f>
        <v>0</v>
      </c>
      <c r="G37" s="23">
        <f>SUM(Прил3!G83)</f>
        <v>0</v>
      </c>
      <c r="H37" s="23">
        <f>SUM(Прил3!H83)</f>
        <v>0</v>
      </c>
      <c r="I37" s="23">
        <f>SUM(Прил3!I83)</f>
        <v>0</v>
      </c>
      <c r="J37" s="23">
        <f>SUM(Прил3!J83)</f>
        <v>0</v>
      </c>
      <c r="K37" s="23">
        <f>SUM(Прил3!K83)</f>
        <v>0</v>
      </c>
      <c r="L37" s="23"/>
      <c r="M37" s="24">
        <f t="shared" si="0"/>
        <v>1437716</v>
      </c>
    </row>
    <row r="38" spans="1:13" ht="25.5">
      <c r="A38" s="22" t="s">
        <v>548</v>
      </c>
      <c r="B38" s="2" t="s">
        <v>280</v>
      </c>
      <c r="C38" s="23">
        <f>SUM(Прил3!C84)</f>
        <v>105859749</v>
      </c>
      <c r="D38" s="23">
        <f>SUM(Прил3!D84)</f>
        <v>70103556</v>
      </c>
      <c r="E38" s="23">
        <f>SUM(Прил3!E84)</f>
        <v>1998420</v>
      </c>
      <c r="F38" s="23">
        <f>SUM(Прил3!F84)</f>
        <v>1237242</v>
      </c>
      <c r="G38" s="23">
        <f>SUM(Прил3!G84)</f>
        <v>1098922</v>
      </c>
      <c r="H38" s="23">
        <f>SUM(Прил3!H84)</f>
        <v>114000</v>
      </c>
      <c r="I38" s="23">
        <f>SUM(Прил3!I84)</f>
        <v>346560</v>
      </c>
      <c r="J38" s="23">
        <f>SUM(Прил3!J84)</f>
        <v>138320</v>
      </c>
      <c r="K38" s="23">
        <f>SUM(Прил3!K84)</f>
        <v>0</v>
      </c>
      <c r="L38" s="23"/>
      <c r="M38" s="24">
        <f t="shared" si="0"/>
        <v>107096991</v>
      </c>
    </row>
    <row r="39" spans="1:13" ht="51.75" customHeight="1">
      <c r="A39" s="22"/>
      <c r="B39" s="2" t="s">
        <v>567</v>
      </c>
      <c r="C39" s="23">
        <f>SUM(Прил3!C85)</f>
        <v>1853260</v>
      </c>
      <c r="D39" s="23">
        <f>SUM(Прил3!D85)</f>
        <v>0</v>
      </c>
      <c r="E39" s="23">
        <f>SUM(Прил3!E85)</f>
        <v>0</v>
      </c>
      <c r="F39" s="23">
        <f>SUM(Прил3!F85)</f>
        <v>0</v>
      </c>
      <c r="G39" s="23">
        <f>SUM(Прил3!G85)</f>
        <v>0</v>
      </c>
      <c r="H39" s="23">
        <f>SUM(Прил3!H85)</f>
        <v>0</v>
      </c>
      <c r="I39" s="23">
        <f>SUM(Прил3!I85)</f>
        <v>0</v>
      </c>
      <c r="J39" s="23">
        <f>SUM(Прил3!J85)</f>
        <v>0</v>
      </c>
      <c r="K39" s="23">
        <f>SUM(Прил3!K85)</f>
        <v>0</v>
      </c>
      <c r="L39" s="23"/>
      <c r="M39" s="24">
        <f t="shared" si="0"/>
        <v>1853260</v>
      </c>
    </row>
    <row r="40" spans="1:13" ht="51.75" customHeight="1">
      <c r="A40" s="22"/>
      <c r="B40" s="14" t="s">
        <v>750</v>
      </c>
      <c r="C40" s="23">
        <f>SUM(Прил3!C86)</f>
        <v>3669800</v>
      </c>
      <c r="D40" s="23"/>
      <c r="E40" s="23"/>
      <c r="F40" s="23"/>
      <c r="G40" s="23"/>
      <c r="H40" s="23"/>
      <c r="I40" s="23"/>
      <c r="J40" s="23"/>
      <c r="K40" s="23"/>
      <c r="L40" s="23"/>
      <c r="M40" s="24">
        <f t="shared" si="0"/>
        <v>3669800</v>
      </c>
    </row>
    <row r="41" spans="1:13" ht="12.75">
      <c r="A41" s="22" t="s">
        <v>476</v>
      </c>
      <c r="B41" s="1" t="s">
        <v>361</v>
      </c>
      <c r="C41" s="23">
        <f>SUM(Прил3!C87)</f>
        <v>5746583</v>
      </c>
      <c r="D41" s="23">
        <f>SUM(Прил3!D87)</f>
        <v>3331280</v>
      </c>
      <c r="E41" s="23">
        <f>SUM(Прил3!E87)</f>
        <v>111342</v>
      </c>
      <c r="F41" s="23">
        <f>SUM(Прил3!F87)</f>
        <v>0</v>
      </c>
      <c r="G41" s="23">
        <f>SUM(Прил3!G87)</f>
        <v>0</v>
      </c>
      <c r="H41" s="23">
        <f>SUM(Прил3!H87)</f>
        <v>0</v>
      </c>
      <c r="I41" s="23">
        <f>SUM(Прил3!I87)</f>
        <v>0</v>
      </c>
      <c r="J41" s="23">
        <f>SUM(Прил3!J87)</f>
        <v>0</v>
      </c>
      <c r="K41" s="23">
        <f>SUM(Прил3!K87)</f>
        <v>0</v>
      </c>
      <c r="L41" s="23"/>
      <c r="M41" s="24">
        <f t="shared" si="0"/>
        <v>5746583</v>
      </c>
    </row>
    <row r="42" spans="1:13" ht="26.25" customHeight="1">
      <c r="A42" s="22" t="s">
        <v>477</v>
      </c>
      <c r="B42" s="1" t="s">
        <v>362</v>
      </c>
      <c r="C42" s="23">
        <f>SUM(Прил3!C88)</f>
        <v>20923157</v>
      </c>
      <c r="D42" s="23">
        <f>SUM(Прил3!D88)</f>
        <v>11447300</v>
      </c>
      <c r="E42" s="23">
        <f>SUM(Прил3!E88)</f>
        <v>303240</v>
      </c>
      <c r="F42" s="23">
        <f>SUM(Прил3!F88)</f>
        <v>968620</v>
      </c>
      <c r="G42" s="23">
        <f>SUM(Прил3!G88)</f>
        <v>968620</v>
      </c>
      <c r="H42" s="23">
        <f>SUM(Прил3!H88)</f>
        <v>418000</v>
      </c>
      <c r="I42" s="23">
        <f>SUM(Прил3!I88)</f>
        <v>53200</v>
      </c>
      <c r="J42" s="23">
        <f>SUM(Прил3!J88)</f>
        <v>0</v>
      </c>
      <c r="K42" s="23">
        <f>SUM(Прил3!K88)</f>
        <v>0</v>
      </c>
      <c r="L42" s="23"/>
      <c r="M42" s="24">
        <f t="shared" si="0"/>
        <v>21891777</v>
      </c>
    </row>
    <row r="43" spans="1:13" ht="36.75" customHeight="1">
      <c r="A43" s="22"/>
      <c r="B43" s="14" t="s">
        <v>750</v>
      </c>
      <c r="C43" s="23">
        <f>SUM(Прил3!C89)</f>
        <v>3796000</v>
      </c>
      <c r="D43" s="23"/>
      <c r="E43" s="23"/>
      <c r="F43" s="23"/>
      <c r="G43" s="23"/>
      <c r="H43" s="23"/>
      <c r="I43" s="23"/>
      <c r="J43" s="23"/>
      <c r="K43" s="23"/>
      <c r="L43" s="23"/>
      <c r="M43" s="24">
        <f t="shared" si="0"/>
        <v>3796000</v>
      </c>
    </row>
    <row r="44" spans="1:13" ht="25.5">
      <c r="A44" s="22" t="s">
        <v>478</v>
      </c>
      <c r="B44" s="1" t="s">
        <v>442</v>
      </c>
      <c r="C44" s="23">
        <f>SUM(Прил3!C90)</f>
        <v>531106</v>
      </c>
      <c r="D44" s="23">
        <f>SUM(Прил3!D90)</f>
        <v>0</v>
      </c>
      <c r="E44" s="23">
        <f>SUM(Прил3!E90)</f>
        <v>0</v>
      </c>
      <c r="F44" s="23">
        <f>SUM(Прил3!F90)</f>
        <v>0</v>
      </c>
      <c r="G44" s="23">
        <f>SUM(Прил3!G90)</f>
        <v>0</v>
      </c>
      <c r="H44" s="23">
        <f>SUM(Прил3!H90)</f>
        <v>0</v>
      </c>
      <c r="I44" s="23">
        <f>SUM(Прил3!I90)</f>
        <v>0</v>
      </c>
      <c r="J44" s="23">
        <f>SUM(Прил3!J90)</f>
        <v>0</v>
      </c>
      <c r="K44" s="23">
        <f>SUM(Прил3!K90)</f>
        <v>0</v>
      </c>
      <c r="L44" s="23"/>
      <c r="M44" s="24">
        <f t="shared" si="0"/>
        <v>531106</v>
      </c>
    </row>
    <row r="45" spans="1:13" ht="25.5">
      <c r="A45" s="22" t="s">
        <v>479</v>
      </c>
      <c r="B45" s="1" t="s">
        <v>443</v>
      </c>
      <c r="C45" s="23">
        <f>SUM(Прил3!C91)</f>
        <v>68260</v>
      </c>
      <c r="D45" s="23">
        <f>SUM(Прил3!D91)</f>
        <v>0</v>
      </c>
      <c r="E45" s="23">
        <f>SUM(Прил3!E91)</f>
        <v>0</v>
      </c>
      <c r="F45" s="23">
        <f>SUM(Прил3!F91)</f>
        <v>0</v>
      </c>
      <c r="G45" s="23">
        <f>SUM(Прил3!G91)</f>
        <v>0</v>
      </c>
      <c r="H45" s="23">
        <f>SUM(Прил3!H91)</f>
        <v>0</v>
      </c>
      <c r="I45" s="23">
        <f>SUM(Прил3!I91)</f>
        <v>0</v>
      </c>
      <c r="J45" s="23">
        <f>SUM(Прил3!J91)</f>
        <v>0</v>
      </c>
      <c r="K45" s="23">
        <f>SUM(Прил3!K91)</f>
        <v>0</v>
      </c>
      <c r="L45" s="23"/>
      <c r="M45" s="24">
        <f t="shared" si="0"/>
        <v>68260</v>
      </c>
    </row>
    <row r="46" spans="1:13" ht="38.25">
      <c r="A46" s="22" t="s">
        <v>480</v>
      </c>
      <c r="B46" s="1" t="s">
        <v>364</v>
      </c>
      <c r="C46" s="23">
        <f>SUM(Прил3!C92)</f>
        <v>0</v>
      </c>
      <c r="D46" s="23">
        <f>SUM(Прил3!D92)</f>
        <v>0</v>
      </c>
      <c r="E46" s="23">
        <f>SUM(Прил3!E92)</f>
        <v>0</v>
      </c>
      <c r="F46" s="23">
        <f>SUM(Прил3!F92)</f>
        <v>0</v>
      </c>
      <c r="G46" s="23">
        <f>SUM(Прил3!G92)</f>
        <v>0</v>
      </c>
      <c r="H46" s="23">
        <f>SUM(Прил3!H92)</f>
        <v>0</v>
      </c>
      <c r="I46" s="23">
        <f>SUM(Прил3!I92)</f>
        <v>0</v>
      </c>
      <c r="J46" s="23">
        <f>SUM(Прил3!J92)</f>
        <v>0</v>
      </c>
      <c r="K46" s="23">
        <f>SUM(Прил3!K92)</f>
        <v>0</v>
      </c>
      <c r="L46" s="23"/>
      <c r="M46" s="24">
        <f t="shared" si="0"/>
        <v>0</v>
      </c>
    </row>
    <row r="47" spans="1:13" ht="25.5">
      <c r="A47" s="22" t="s">
        <v>394</v>
      </c>
      <c r="B47" s="1" t="s">
        <v>444</v>
      </c>
      <c r="C47" s="23">
        <f>SUM(Прил3!C93)</f>
        <v>14198</v>
      </c>
      <c r="D47" s="23">
        <f>SUM(Прил3!D93)</f>
        <v>0</v>
      </c>
      <c r="E47" s="23">
        <f>SUM(Прил3!E93)</f>
        <v>0</v>
      </c>
      <c r="F47" s="23">
        <f>SUM(Прил3!F93)</f>
        <v>0</v>
      </c>
      <c r="G47" s="23">
        <f>SUM(Прил3!G93)</f>
        <v>0</v>
      </c>
      <c r="H47" s="23">
        <f>SUM(Прил3!H93)</f>
        <v>0</v>
      </c>
      <c r="I47" s="23">
        <f>SUM(Прил3!I93)</f>
        <v>0</v>
      </c>
      <c r="J47" s="23">
        <f>SUM(Прил3!J93)</f>
        <v>0</v>
      </c>
      <c r="K47" s="23">
        <f>SUM(Прил3!K93)</f>
        <v>0</v>
      </c>
      <c r="L47" s="23"/>
      <c r="M47" s="24">
        <f t="shared" si="0"/>
        <v>14198</v>
      </c>
    </row>
    <row r="48" spans="1:13" ht="25.5">
      <c r="A48" s="20" t="s">
        <v>568</v>
      </c>
      <c r="B48" s="5" t="s">
        <v>707</v>
      </c>
      <c r="C48" s="21">
        <f>C49+C50+C51+C52+C53+C54+C56+C58+C60+C61+C62+C63+C64+C65+C66+C67+C68+C69+C70+C71+C72+C73+C74+C75+C76+C77+C78+C79+C80+C81+C82+C83+C84+C85+C86+C87+C88+C89+C90+C91+C92+C93+C97+C99+C100+C101+C102+C103+C104+C105+C106+C107+C108+C109+C113+C114+C115+C116+C117</f>
        <v>561668083</v>
      </c>
      <c r="D48" s="21">
        <f>15086380+1187300+1478000+6727400</f>
        <v>24479080</v>
      </c>
      <c r="E48" s="21">
        <f>E102+E104+E107</f>
        <v>573060</v>
      </c>
      <c r="F48" s="21">
        <v>163400</v>
      </c>
      <c r="G48" s="21">
        <v>163400</v>
      </c>
      <c r="H48" s="21">
        <v>52820</v>
      </c>
      <c r="I48" s="21">
        <v>24700</v>
      </c>
      <c r="J48" s="21">
        <v>0</v>
      </c>
      <c r="K48" s="21">
        <v>0</v>
      </c>
      <c r="L48" s="21"/>
      <c r="M48" s="21">
        <f t="shared" si="0"/>
        <v>561831483</v>
      </c>
    </row>
    <row r="49" spans="1:13" ht="230.25" customHeight="1">
      <c r="A49" s="22" t="s">
        <v>575</v>
      </c>
      <c r="B49" s="3" t="s">
        <v>860</v>
      </c>
      <c r="C49" s="23">
        <v>6237434</v>
      </c>
      <c r="D49" s="23">
        <v>0</v>
      </c>
      <c r="E49" s="23">
        <v>0</v>
      </c>
      <c r="F49" s="23">
        <v>0</v>
      </c>
      <c r="G49" s="23">
        <v>0</v>
      </c>
      <c r="H49" s="23">
        <v>0</v>
      </c>
      <c r="I49" s="23">
        <v>0</v>
      </c>
      <c r="J49" s="23">
        <v>0</v>
      </c>
      <c r="K49" s="23">
        <v>0</v>
      </c>
      <c r="L49" s="23"/>
      <c r="M49" s="24">
        <f t="shared" si="0"/>
        <v>6237434</v>
      </c>
    </row>
    <row r="50" spans="1:13" ht="231.75" customHeight="1">
      <c r="A50" s="22" t="s">
        <v>575</v>
      </c>
      <c r="B50" s="3" t="s">
        <v>276</v>
      </c>
      <c r="C50" s="23">
        <v>29632362</v>
      </c>
      <c r="D50" s="23">
        <v>0</v>
      </c>
      <c r="E50" s="23">
        <v>0</v>
      </c>
      <c r="F50" s="23">
        <v>0</v>
      </c>
      <c r="G50" s="23">
        <v>0</v>
      </c>
      <c r="H50" s="23">
        <v>0</v>
      </c>
      <c r="I50" s="23">
        <v>0</v>
      </c>
      <c r="J50" s="23">
        <v>0</v>
      </c>
      <c r="K50" s="23">
        <v>0</v>
      </c>
      <c r="L50" s="23"/>
      <c r="M50" s="24">
        <f t="shared" si="0"/>
        <v>29632362</v>
      </c>
    </row>
    <row r="51" spans="1:13" ht="191.25">
      <c r="A51" s="22" t="s">
        <v>596</v>
      </c>
      <c r="B51" s="25" t="s">
        <v>857</v>
      </c>
      <c r="C51" s="23">
        <f>SUM(Прил3!C111)</f>
        <v>19357.32</v>
      </c>
      <c r="D51" s="23">
        <v>0</v>
      </c>
      <c r="E51" s="23">
        <v>0</v>
      </c>
      <c r="F51" s="23">
        <v>0</v>
      </c>
      <c r="G51" s="23">
        <v>0</v>
      </c>
      <c r="H51" s="23">
        <v>0</v>
      </c>
      <c r="I51" s="23">
        <v>0</v>
      </c>
      <c r="J51" s="23">
        <v>0</v>
      </c>
      <c r="K51" s="23">
        <v>0</v>
      </c>
      <c r="L51" s="23"/>
      <c r="M51" s="24">
        <f t="shared" si="0"/>
        <v>19357.32</v>
      </c>
    </row>
    <row r="52" spans="1:13" ht="216.75" customHeight="1">
      <c r="A52" s="22" t="s">
        <v>298</v>
      </c>
      <c r="B52" s="3" t="s">
        <v>858</v>
      </c>
      <c r="C52" s="23">
        <v>38228</v>
      </c>
      <c r="D52" s="23">
        <v>0</v>
      </c>
      <c r="E52" s="23">
        <v>0</v>
      </c>
      <c r="F52" s="23">
        <v>0</v>
      </c>
      <c r="G52" s="23">
        <v>0</v>
      </c>
      <c r="H52" s="23">
        <v>0</v>
      </c>
      <c r="I52" s="23">
        <v>0</v>
      </c>
      <c r="J52" s="23">
        <v>0</v>
      </c>
      <c r="K52" s="23">
        <v>0</v>
      </c>
      <c r="L52" s="23"/>
      <c r="M52" s="24">
        <f t="shared" si="0"/>
        <v>38228</v>
      </c>
    </row>
    <row r="53" spans="1:13" ht="219.75" customHeight="1">
      <c r="A53" s="22" t="s">
        <v>298</v>
      </c>
      <c r="B53" s="3" t="s">
        <v>223</v>
      </c>
      <c r="C53" s="23">
        <v>664734</v>
      </c>
      <c r="D53" s="23">
        <v>0</v>
      </c>
      <c r="E53" s="23">
        <v>0</v>
      </c>
      <c r="F53" s="23">
        <v>0</v>
      </c>
      <c r="G53" s="23">
        <v>0</v>
      </c>
      <c r="H53" s="23">
        <v>0</v>
      </c>
      <c r="I53" s="23">
        <v>0</v>
      </c>
      <c r="J53" s="23">
        <v>0</v>
      </c>
      <c r="K53" s="23">
        <v>0</v>
      </c>
      <c r="L53" s="23"/>
      <c r="M53" s="24">
        <f t="shared" si="0"/>
        <v>664734</v>
      </c>
    </row>
    <row r="54" spans="1:13" ht="371.25" customHeight="1">
      <c r="A54" s="22" t="s">
        <v>571</v>
      </c>
      <c r="B54" s="3" t="s">
        <v>482</v>
      </c>
      <c r="C54" s="23">
        <v>1516352</v>
      </c>
      <c r="D54" s="23">
        <v>0</v>
      </c>
      <c r="E54" s="23">
        <v>0</v>
      </c>
      <c r="F54" s="23">
        <v>0</v>
      </c>
      <c r="G54" s="23">
        <v>0</v>
      </c>
      <c r="H54" s="23">
        <v>0</v>
      </c>
      <c r="I54" s="23">
        <v>0</v>
      </c>
      <c r="J54" s="23">
        <v>0</v>
      </c>
      <c r="K54" s="23">
        <v>0</v>
      </c>
      <c r="L54" s="23"/>
      <c r="M54" s="24">
        <f t="shared" si="0"/>
        <v>1516352</v>
      </c>
    </row>
    <row r="55" spans="1:13" ht="270" customHeight="1">
      <c r="A55" s="22"/>
      <c r="B55" s="3" t="s">
        <v>483</v>
      </c>
      <c r="C55" s="23"/>
      <c r="D55" s="23"/>
      <c r="E55" s="23"/>
      <c r="F55" s="23"/>
      <c r="G55" s="23"/>
      <c r="H55" s="23"/>
      <c r="I55" s="23"/>
      <c r="J55" s="23"/>
      <c r="K55" s="23"/>
      <c r="L55" s="23"/>
      <c r="M55" s="24"/>
    </row>
    <row r="56" spans="1:13" ht="372" customHeight="1">
      <c r="A56" s="22" t="s">
        <v>571</v>
      </c>
      <c r="B56" s="3" t="s">
        <v>482</v>
      </c>
      <c r="C56" s="23">
        <v>11636284</v>
      </c>
      <c r="D56" s="23">
        <v>0</v>
      </c>
      <c r="E56" s="23">
        <v>0</v>
      </c>
      <c r="F56" s="23">
        <v>0</v>
      </c>
      <c r="G56" s="23">
        <v>0</v>
      </c>
      <c r="H56" s="23">
        <v>0</v>
      </c>
      <c r="I56" s="23">
        <v>0</v>
      </c>
      <c r="J56" s="23">
        <v>0</v>
      </c>
      <c r="K56" s="23">
        <v>0</v>
      </c>
      <c r="L56" s="23"/>
      <c r="M56" s="24">
        <f>SUM(C56)</f>
        <v>11636284</v>
      </c>
    </row>
    <row r="57" spans="1:13" ht="269.25" customHeight="1">
      <c r="A57" s="22"/>
      <c r="B57" s="3" t="s">
        <v>332</v>
      </c>
      <c r="C57" s="23"/>
      <c r="D57" s="23"/>
      <c r="E57" s="23"/>
      <c r="F57" s="23"/>
      <c r="G57" s="23"/>
      <c r="H57" s="23"/>
      <c r="I57" s="23"/>
      <c r="J57" s="23"/>
      <c r="K57" s="23"/>
      <c r="L57" s="23"/>
      <c r="M57" s="24"/>
    </row>
    <row r="58" spans="1:13" ht="357.75" customHeight="1">
      <c r="A58" s="22" t="s">
        <v>351</v>
      </c>
      <c r="B58" s="1" t="s">
        <v>432</v>
      </c>
      <c r="C58" s="23">
        <f>SUM(C59)</f>
        <v>2064.18</v>
      </c>
      <c r="D58" s="23">
        <v>0</v>
      </c>
      <c r="E58" s="23">
        <v>0</v>
      </c>
      <c r="F58" s="23">
        <v>0</v>
      </c>
      <c r="G58" s="23">
        <v>0</v>
      </c>
      <c r="H58" s="23">
        <v>0</v>
      </c>
      <c r="I58" s="23">
        <v>0</v>
      </c>
      <c r="J58" s="23">
        <v>0</v>
      </c>
      <c r="K58" s="23">
        <v>0</v>
      </c>
      <c r="L58" s="23"/>
      <c r="M58" s="24">
        <f>C58+F58</f>
        <v>2064.18</v>
      </c>
    </row>
    <row r="59" spans="1:13" ht="89.25">
      <c r="A59" s="22"/>
      <c r="B59" s="1" t="s">
        <v>751</v>
      </c>
      <c r="C59" s="23">
        <f>SUM(Прил3!C122)</f>
        <v>2064.18</v>
      </c>
      <c r="D59" s="23"/>
      <c r="E59" s="23"/>
      <c r="F59" s="23"/>
      <c r="G59" s="23"/>
      <c r="H59" s="23"/>
      <c r="I59" s="23"/>
      <c r="J59" s="23"/>
      <c r="K59" s="23"/>
      <c r="L59" s="23"/>
      <c r="M59" s="24"/>
    </row>
    <row r="60" spans="1:13" ht="91.5" customHeight="1">
      <c r="A60" s="22" t="s">
        <v>725</v>
      </c>
      <c r="B60" s="1" t="s">
        <v>752</v>
      </c>
      <c r="C60" s="23">
        <v>186656</v>
      </c>
      <c r="D60" s="23">
        <v>0</v>
      </c>
      <c r="E60" s="23">
        <v>0</v>
      </c>
      <c r="F60" s="23">
        <v>0</v>
      </c>
      <c r="G60" s="23">
        <v>0</v>
      </c>
      <c r="H60" s="23">
        <v>0</v>
      </c>
      <c r="I60" s="23">
        <v>0</v>
      </c>
      <c r="J60" s="23">
        <v>0</v>
      </c>
      <c r="K60" s="23">
        <v>0</v>
      </c>
      <c r="L60" s="23"/>
      <c r="M60" s="24">
        <f>C60+F60</f>
        <v>186656</v>
      </c>
    </row>
    <row r="61" spans="1:13" ht="90.75" customHeight="1">
      <c r="A61" s="22" t="s">
        <v>725</v>
      </c>
      <c r="B61" s="1" t="s">
        <v>667</v>
      </c>
      <c r="C61" s="23">
        <v>1336916</v>
      </c>
      <c r="D61" s="23">
        <v>0</v>
      </c>
      <c r="E61" s="23">
        <v>0</v>
      </c>
      <c r="F61" s="23">
        <v>0</v>
      </c>
      <c r="G61" s="23">
        <v>0</v>
      </c>
      <c r="H61" s="23">
        <v>0</v>
      </c>
      <c r="I61" s="23">
        <v>0</v>
      </c>
      <c r="J61" s="23">
        <v>0</v>
      </c>
      <c r="K61" s="23">
        <v>0</v>
      </c>
      <c r="L61" s="23"/>
      <c r="M61" s="24">
        <f>SUM(C61)</f>
        <v>1336916</v>
      </c>
    </row>
    <row r="62" spans="1:13" ht="92.25" customHeight="1">
      <c r="A62" s="22" t="s">
        <v>353</v>
      </c>
      <c r="B62" s="1" t="s">
        <v>429</v>
      </c>
      <c r="C62" s="23">
        <f>1900-1900</f>
        <v>0</v>
      </c>
      <c r="D62" s="23">
        <v>0</v>
      </c>
      <c r="E62" s="23">
        <v>0</v>
      </c>
      <c r="F62" s="23">
        <v>0</v>
      </c>
      <c r="G62" s="23">
        <v>0</v>
      </c>
      <c r="H62" s="23">
        <v>0</v>
      </c>
      <c r="I62" s="23">
        <v>0</v>
      </c>
      <c r="J62" s="23">
        <v>0</v>
      </c>
      <c r="K62" s="23">
        <v>0</v>
      </c>
      <c r="L62" s="23"/>
      <c r="M62" s="24">
        <f aca="true" t="shared" si="3" ref="M62:M125">C62+F62</f>
        <v>0</v>
      </c>
    </row>
    <row r="63" spans="1:13" ht="90.75" customHeight="1">
      <c r="A63" s="22" t="s">
        <v>299</v>
      </c>
      <c r="B63" s="1" t="s">
        <v>430</v>
      </c>
      <c r="C63" s="24">
        <v>7125</v>
      </c>
      <c r="D63" s="23">
        <v>0</v>
      </c>
      <c r="E63" s="23">
        <v>0</v>
      </c>
      <c r="F63" s="23">
        <v>0</v>
      </c>
      <c r="G63" s="23">
        <v>0</v>
      </c>
      <c r="H63" s="23">
        <v>0</v>
      </c>
      <c r="I63" s="23">
        <v>0</v>
      </c>
      <c r="J63" s="23">
        <v>0</v>
      </c>
      <c r="K63" s="23">
        <v>0</v>
      </c>
      <c r="L63" s="23"/>
      <c r="M63" s="24">
        <f t="shared" si="3"/>
        <v>7125</v>
      </c>
    </row>
    <row r="64" spans="1:13" ht="81" customHeight="1">
      <c r="A64" s="22" t="s">
        <v>299</v>
      </c>
      <c r="B64" s="1" t="s">
        <v>431</v>
      </c>
      <c r="C64" s="24">
        <v>75526</v>
      </c>
      <c r="D64" s="23">
        <v>0</v>
      </c>
      <c r="E64" s="23">
        <v>0</v>
      </c>
      <c r="F64" s="23">
        <v>0</v>
      </c>
      <c r="G64" s="23">
        <v>0</v>
      </c>
      <c r="H64" s="23">
        <v>0</v>
      </c>
      <c r="I64" s="23">
        <v>0</v>
      </c>
      <c r="J64" s="23">
        <v>0</v>
      </c>
      <c r="K64" s="23">
        <v>0</v>
      </c>
      <c r="L64" s="23"/>
      <c r="M64" s="24">
        <f t="shared" si="3"/>
        <v>75526</v>
      </c>
    </row>
    <row r="65" spans="1:13" ht="183.75" customHeight="1">
      <c r="A65" s="22" t="s">
        <v>294</v>
      </c>
      <c r="B65" s="1" t="s">
        <v>668</v>
      </c>
      <c r="C65" s="23">
        <v>28652</v>
      </c>
      <c r="D65" s="23">
        <v>0</v>
      </c>
      <c r="E65" s="23">
        <v>0</v>
      </c>
      <c r="F65" s="23">
        <v>0</v>
      </c>
      <c r="G65" s="23">
        <v>0</v>
      </c>
      <c r="H65" s="23">
        <v>0</v>
      </c>
      <c r="I65" s="23">
        <v>0</v>
      </c>
      <c r="J65" s="23">
        <v>0</v>
      </c>
      <c r="K65" s="23">
        <v>0</v>
      </c>
      <c r="L65" s="23"/>
      <c r="M65" s="24">
        <f t="shared" si="3"/>
        <v>28652</v>
      </c>
    </row>
    <row r="66" spans="1:13" ht="183.75" customHeight="1">
      <c r="A66" s="22" t="s">
        <v>294</v>
      </c>
      <c r="B66" s="1" t="s">
        <v>673</v>
      </c>
      <c r="C66" s="23">
        <v>304912</v>
      </c>
      <c r="D66" s="23">
        <v>0</v>
      </c>
      <c r="E66" s="23">
        <v>0</v>
      </c>
      <c r="F66" s="23">
        <v>0</v>
      </c>
      <c r="G66" s="23">
        <v>0</v>
      </c>
      <c r="H66" s="23">
        <v>0</v>
      </c>
      <c r="I66" s="23">
        <v>0</v>
      </c>
      <c r="J66" s="23">
        <v>0</v>
      </c>
      <c r="K66" s="23">
        <v>0</v>
      </c>
      <c r="L66" s="23"/>
      <c r="M66" s="24">
        <f t="shared" si="3"/>
        <v>304912</v>
      </c>
    </row>
    <row r="67" spans="1:13" ht="51">
      <c r="A67" s="22" t="s">
        <v>396</v>
      </c>
      <c r="B67" s="1" t="s">
        <v>674</v>
      </c>
      <c r="C67" s="23">
        <v>109820</v>
      </c>
      <c r="D67" s="23">
        <v>0</v>
      </c>
      <c r="E67" s="23">
        <v>0</v>
      </c>
      <c r="F67" s="23">
        <v>0</v>
      </c>
      <c r="G67" s="23">
        <v>0</v>
      </c>
      <c r="H67" s="23">
        <v>0</v>
      </c>
      <c r="I67" s="23">
        <v>0</v>
      </c>
      <c r="J67" s="23">
        <v>0</v>
      </c>
      <c r="K67" s="23">
        <v>0</v>
      </c>
      <c r="L67" s="23"/>
      <c r="M67" s="24">
        <f t="shared" si="3"/>
        <v>109820</v>
      </c>
    </row>
    <row r="68" spans="1:13" ht="38.25">
      <c r="A68" s="22" t="s">
        <v>301</v>
      </c>
      <c r="B68" s="1" t="s">
        <v>7</v>
      </c>
      <c r="C68" s="23">
        <v>433827</v>
      </c>
      <c r="D68" s="23">
        <v>0</v>
      </c>
      <c r="E68" s="23">
        <v>0</v>
      </c>
      <c r="F68" s="23">
        <v>0</v>
      </c>
      <c r="G68" s="23">
        <v>0</v>
      </c>
      <c r="H68" s="23">
        <v>0</v>
      </c>
      <c r="I68" s="23">
        <v>0</v>
      </c>
      <c r="J68" s="23">
        <v>0</v>
      </c>
      <c r="K68" s="23">
        <v>0</v>
      </c>
      <c r="L68" s="23"/>
      <c r="M68" s="24">
        <f t="shared" si="3"/>
        <v>433827</v>
      </c>
    </row>
    <row r="69" spans="1:13" ht="38.25">
      <c r="A69" s="22" t="s">
        <v>301</v>
      </c>
      <c r="B69" s="1" t="s">
        <v>675</v>
      </c>
      <c r="C69" s="23">
        <v>3792760</v>
      </c>
      <c r="D69" s="23">
        <v>0</v>
      </c>
      <c r="E69" s="23">
        <v>0</v>
      </c>
      <c r="F69" s="23">
        <v>0</v>
      </c>
      <c r="G69" s="23">
        <v>0</v>
      </c>
      <c r="H69" s="23">
        <v>0</v>
      </c>
      <c r="I69" s="23">
        <v>0</v>
      </c>
      <c r="J69" s="23">
        <v>0</v>
      </c>
      <c r="K69" s="23">
        <v>0</v>
      </c>
      <c r="L69" s="23"/>
      <c r="M69" s="24">
        <f t="shared" si="3"/>
        <v>3792760</v>
      </c>
    </row>
    <row r="70" spans="1:13" ht="38.25">
      <c r="A70" s="22" t="s">
        <v>296</v>
      </c>
      <c r="B70" s="1" t="s">
        <v>8</v>
      </c>
      <c r="C70" s="23">
        <v>501296</v>
      </c>
      <c r="D70" s="23">
        <v>0</v>
      </c>
      <c r="E70" s="23">
        <v>0</v>
      </c>
      <c r="F70" s="23">
        <v>0</v>
      </c>
      <c r="G70" s="23">
        <v>0</v>
      </c>
      <c r="H70" s="23">
        <v>0</v>
      </c>
      <c r="I70" s="23">
        <v>0</v>
      </c>
      <c r="J70" s="23">
        <v>0</v>
      </c>
      <c r="K70" s="23">
        <v>0</v>
      </c>
      <c r="L70" s="23"/>
      <c r="M70" s="24">
        <f t="shared" si="3"/>
        <v>501296</v>
      </c>
    </row>
    <row r="71" spans="1:13" ht="38.25">
      <c r="A71" s="22" t="s">
        <v>296</v>
      </c>
      <c r="B71" s="1" t="s">
        <v>676</v>
      </c>
      <c r="C71" s="23">
        <v>2976996</v>
      </c>
      <c r="D71" s="23">
        <v>0</v>
      </c>
      <c r="E71" s="23">
        <v>0</v>
      </c>
      <c r="F71" s="23">
        <v>0</v>
      </c>
      <c r="G71" s="23">
        <v>0</v>
      </c>
      <c r="H71" s="23">
        <v>0</v>
      </c>
      <c r="I71" s="23">
        <v>0</v>
      </c>
      <c r="J71" s="23">
        <v>0</v>
      </c>
      <c r="K71" s="23">
        <v>0</v>
      </c>
      <c r="L71" s="23"/>
      <c r="M71" s="24">
        <f t="shared" si="3"/>
        <v>2976996</v>
      </c>
    </row>
    <row r="72" spans="1:13" ht="41.25" customHeight="1">
      <c r="A72" s="22" t="s">
        <v>354</v>
      </c>
      <c r="B72" s="1" t="s">
        <v>677</v>
      </c>
      <c r="C72" s="23">
        <f>6460-6460</f>
        <v>0</v>
      </c>
      <c r="D72" s="23">
        <v>0</v>
      </c>
      <c r="E72" s="23">
        <v>0</v>
      </c>
      <c r="F72" s="23">
        <v>0</v>
      </c>
      <c r="G72" s="23">
        <v>0</v>
      </c>
      <c r="H72" s="23">
        <v>0</v>
      </c>
      <c r="I72" s="23">
        <v>0</v>
      </c>
      <c r="J72" s="23">
        <v>0</v>
      </c>
      <c r="K72" s="23">
        <v>0</v>
      </c>
      <c r="L72" s="23"/>
      <c r="M72" s="24">
        <f t="shared" si="3"/>
        <v>0</v>
      </c>
    </row>
    <row r="73" spans="1:13" ht="38.25">
      <c r="A73" s="22" t="s">
        <v>397</v>
      </c>
      <c r="B73" s="1" t="s">
        <v>435</v>
      </c>
      <c r="C73" s="23">
        <v>721780</v>
      </c>
      <c r="D73" s="23">
        <v>0</v>
      </c>
      <c r="E73" s="23">
        <v>0</v>
      </c>
      <c r="F73" s="23">
        <v>0</v>
      </c>
      <c r="G73" s="23">
        <v>0</v>
      </c>
      <c r="H73" s="23">
        <v>0</v>
      </c>
      <c r="I73" s="23">
        <v>0</v>
      </c>
      <c r="J73" s="23">
        <v>0</v>
      </c>
      <c r="K73" s="23">
        <v>0</v>
      </c>
      <c r="L73" s="23"/>
      <c r="M73" s="24">
        <f t="shared" si="3"/>
        <v>721780</v>
      </c>
    </row>
    <row r="74" spans="1:13" ht="25.5">
      <c r="A74" s="22" t="s">
        <v>397</v>
      </c>
      <c r="B74" s="1" t="s">
        <v>678</v>
      </c>
      <c r="C74" s="23">
        <v>3218060</v>
      </c>
      <c r="D74" s="23">
        <v>0</v>
      </c>
      <c r="E74" s="23">
        <v>0</v>
      </c>
      <c r="F74" s="23">
        <v>0</v>
      </c>
      <c r="G74" s="23">
        <v>0</v>
      </c>
      <c r="H74" s="23">
        <v>0</v>
      </c>
      <c r="I74" s="23">
        <v>0</v>
      </c>
      <c r="J74" s="23">
        <v>0</v>
      </c>
      <c r="K74" s="23">
        <v>0</v>
      </c>
      <c r="L74" s="23"/>
      <c r="M74" s="24">
        <f t="shared" si="3"/>
        <v>3218060</v>
      </c>
    </row>
    <row r="75" spans="1:13" ht="38.25">
      <c r="A75" s="22" t="s">
        <v>398</v>
      </c>
      <c r="B75" s="1" t="s">
        <v>288</v>
      </c>
      <c r="C75" s="23">
        <v>16687111</v>
      </c>
      <c r="D75" s="23">
        <v>0</v>
      </c>
      <c r="E75" s="23">
        <v>0</v>
      </c>
      <c r="F75" s="23">
        <v>0</v>
      </c>
      <c r="G75" s="23">
        <v>0</v>
      </c>
      <c r="H75" s="23">
        <v>0</v>
      </c>
      <c r="I75" s="23">
        <v>0</v>
      </c>
      <c r="J75" s="23">
        <v>0</v>
      </c>
      <c r="K75" s="23">
        <v>0</v>
      </c>
      <c r="L75" s="23"/>
      <c r="M75" s="24">
        <f t="shared" si="3"/>
        <v>16687111</v>
      </c>
    </row>
    <row r="76" spans="1:13" ht="38.25">
      <c r="A76" s="22" t="s">
        <v>398</v>
      </c>
      <c r="B76" s="1" t="s">
        <v>679</v>
      </c>
      <c r="C76" s="23">
        <v>65762249</v>
      </c>
      <c r="D76" s="23">
        <v>0</v>
      </c>
      <c r="E76" s="23">
        <v>0</v>
      </c>
      <c r="F76" s="23">
        <v>0</v>
      </c>
      <c r="G76" s="23">
        <v>0</v>
      </c>
      <c r="H76" s="23">
        <v>0</v>
      </c>
      <c r="I76" s="23">
        <v>0</v>
      </c>
      <c r="J76" s="23">
        <v>0</v>
      </c>
      <c r="K76" s="23">
        <v>0</v>
      </c>
      <c r="L76" s="23"/>
      <c r="M76" s="24">
        <f t="shared" si="3"/>
        <v>65762249</v>
      </c>
    </row>
    <row r="77" spans="1:13" ht="25.5">
      <c r="A77" s="22" t="s">
        <v>399</v>
      </c>
      <c r="B77" s="1" t="s">
        <v>586</v>
      </c>
      <c r="C77" s="23">
        <v>38362520</v>
      </c>
      <c r="D77" s="23">
        <v>0</v>
      </c>
      <c r="E77" s="23">
        <v>0</v>
      </c>
      <c r="F77" s="23">
        <v>0</v>
      </c>
      <c r="G77" s="23">
        <v>0</v>
      </c>
      <c r="H77" s="23">
        <v>0</v>
      </c>
      <c r="I77" s="23">
        <v>0</v>
      </c>
      <c r="J77" s="23">
        <v>0</v>
      </c>
      <c r="K77" s="23">
        <v>0</v>
      </c>
      <c r="L77" s="23"/>
      <c r="M77" s="24">
        <f t="shared" si="3"/>
        <v>38362520</v>
      </c>
    </row>
    <row r="78" spans="1:13" ht="25.5">
      <c r="A78" s="22" t="s">
        <v>399</v>
      </c>
      <c r="B78" s="1" t="s">
        <v>680</v>
      </c>
      <c r="C78" s="23">
        <v>175686160</v>
      </c>
      <c r="D78" s="23">
        <v>0</v>
      </c>
      <c r="E78" s="23">
        <v>0</v>
      </c>
      <c r="F78" s="23">
        <v>0</v>
      </c>
      <c r="G78" s="23">
        <v>0</v>
      </c>
      <c r="H78" s="23">
        <v>0</v>
      </c>
      <c r="I78" s="23">
        <v>0</v>
      </c>
      <c r="J78" s="23">
        <v>0</v>
      </c>
      <c r="K78" s="23">
        <v>0</v>
      </c>
      <c r="L78" s="23"/>
      <c r="M78" s="24">
        <f t="shared" si="3"/>
        <v>175686160</v>
      </c>
    </row>
    <row r="79" spans="1:13" ht="38.25">
      <c r="A79" s="22" t="s">
        <v>400</v>
      </c>
      <c r="B79" s="1" t="s">
        <v>579</v>
      </c>
      <c r="C79" s="23">
        <v>3295683</v>
      </c>
      <c r="D79" s="23">
        <v>0</v>
      </c>
      <c r="E79" s="23">
        <v>0</v>
      </c>
      <c r="F79" s="23">
        <v>0</v>
      </c>
      <c r="G79" s="23">
        <v>0</v>
      </c>
      <c r="H79" s="23">
        <v>0</v>
      </c>
      <c r="I79" s="23">
        <v>0</v>
      </c>
      <c r="J79" s="23">
        <v>0</v>
      </c>
      <c r="K79" s="23">
        <v>0</v>
      </c>
      <c r="L79" s="23"/>
      <c r="M79" s="24">
        <f t="shared" si="3"/>
        <v>3295683</v>
      </c>
    </row>
    <row r="80" spans="1:13" ht="38.25">
      <c r="A80" s="22" t="s">
        <v>400</v>
      </c>
      <c r="B80" s="1" t="s">
        <v>681</v>
      </c>
      <c r="C80" s="23">
        <v>11716977</v>
      </c>
      <c r="D80" s="23">
        <v>0</v>
      </c>
      <c r="E80" s="23">
        <v>0</v>
      </c>
      <c r="F80" s="23">
        <v>0</v>
      </c>
      <c r="G80" s="23">
        <v>0</v>
      </c>
      <c r="H80" s="23">
        <v>0</v>
      </c>
      <c r="I80" s="23">
        <v>0</v>
      </c>
      <c r="J80" s="23">
        <v>0</v>
      </c>
      <c r="K80" s="23">
        <v>0</v>
      </c>
      <c r="L80" s="23"/>
      <c r="M80" s="24">
        <f t="shared" si="3"/>
        <v>11716977</v>
      </c>
    </row>
    <row r="81" spans="1:13" ht="38.25">
      <c r="A81" s="22" t="s">
        <v>401</v>
      </c>
      <c r="B81" s="1" t="s">
        <v>580</v>
      </c>
      <c r="C81" s="23">
        <v>10118792</v>
      </c>
      <c r="D81" s="23">
        <v>0</v>
      </c>
      <c r="E81" s="23">
        <v>0</v>
      </c>
      <c r="F81" s="23">
        <v>0</v>
      </c>
      <c r="G81" s="23">
        <v>0</v>
      </c>
      <c r="H81" s="23">
        <v>0</v>
      </c>
      <c r="I81" s="23">
        <v>0</v>
      </c>
      <c r="J81" s="23">
        <v>0</v>
      </c>
      <c r="K81" s="23">
        <v>0</v>
      </c>
      <c r="L81" s="23"/>
      <c r="M81" s="24">
        <f t="shared" si="3"/>
        <v>10118792</v>
      </c>
    </row>
    <row r="82" spans="1:13" ht="25.5">
      <c r="A82" s="22" t="s">
        <v>401</v>
      </c>
      <c r="B82" s="1" t="s">
        <v>682</v>
      </c>
      <c r="C82" s="23">
        <v>30671168</v>
      </c>
      <c r="D82" s="23">
        <v>0</v>
      </c>
      <c r="E82" s="23">
        <v>0</v>
      </c>
      <c r="F82" s="23">
        <v>0</v>
      </c>
      <c r="G82" s="23">
        <v>0</v>
      </c>
      <c r="H82" s="23">
        <v>0</v>
      </c>
      <c r="I82" s="23">
        <v>0</v>
      </c>
      <c r="J82" s="23">
        <v>0</v>
      </c>
      <c r="K82" s="23">
        <v>0</v>
      </c>
      <c r="L82" s="23"/>
      <c r="M82" s="24">
        <f t="shared" si="3"/>
        <v>30671168</v>
      </c>
    </row>
    <row r="83" spans="1:13" ht="38.25">
      <c r="A83" s="22" t="s">
        <v>402</v>
      </c>
      <c r="B83" s="1" t="s">
        <v>129</v>
      </c>
      <c r="C83" s="23">
        <v>602965</v>
      </c>
      <c r="D83" s="23">
        <v>0</v>
      </c>
      <c r="E83" s="23">
        <v>0</v>
      </c>
      <c r="F83" s="23">
        <v>0</v>
      </c>
      <c r="G83" s="23">
        <v>0</v>
      </c>
      <c r="H83" s="23">
        <v>0</v>
      </c>
      <c r="I83" s="23">
        <v>0</v>
      </c>
      <c r="J83" s="23">
        <v>0</v>
      </c>
      <c r="K83" s="23">
        <v>0</v>
      </c>
      <c r="L83" s="23"/>
      <c r="M83" s="24">
        <f t="shared" si="3"/>
        <v>602965</v>
      </c>
    </row>
    <row r="84" spans="1:13" ht="25.5">
      <c r="A84" s="22" t="s">
        <v>402</v>
      </c>
      <c r="B84" s="1" t="s">
        <v>683</v>
      </c>
      <c r="C84" s="23">
        <v>1995095</v>
      </c>
      <c r="D84" s="23">
        <v>0</v>
      </c>
      <c r="E84" s="23">
        <v>0</v>
      </c>
      <c r="F84" s="23">
        <v>0</v>
      </c>
      <c r="G84" s="23">
        <v>0</v>
      </c>
      <c r="H84" s="23">
        <v>0</v>
      </c>
      <c r="I84" s="23">
        <v>0</v>
      </c>
      <c r="J84" s="23">
        <v>0</v>
      </c>
      <c r="K84" s="23">
        <v>0</v>
      </c>
      <c r="L84" s="23"/>
      <c r="M84" s="24">
        <f t="shared" si="3"/>
        <v>1995095</v>
      </c>
    </row>
    <row r="85" spans="1:13" ht="25.5" customHeight="1">
      <c r="A85" s="22" t="s">
        <v>403</v>
      </c>
      <c r="B85" s="1" t="s">
        <v>130</v>
      </c>
      <c r="C85" s="23">
        <v>200119</v>
      </c>
      <c r="D85" s="23">
        <v>0</v>
      </c>
      <c r="E85" s="23">
        <v>0</v>
      </c>
      <c r="F85" s="23">
        <v>0</v>
      </c>
      <c r="G85" s="23">
        <v>0</v>
      </c>
      <c r="H85" s="23">
        <v>0</v>
      </c>
      <c r="I85" s="23">
        <v>0</v>
      </c>
      <c r="J85" s="23">
        <v>0</v>
      </c>
      <c r="K85" s="23">
        <v>0</v>
      </c>
      <c r="L85" s="23"/>
      <c r="M85" s="24">
        <f t="shared" si="3"/>
        <v>200119</v>
      </c>
    </row>
    <row r="86" spans="1:13" ht="25.5">
      <c r="A86" s="22" t="s">
        <v>403</v>
      </c>
      <c r="B86" s="1" t="s">
        <v>691</v>
      </c>
      <c r="C86" s="23">
        <v>1126841</v>
      </c>
      <c r="D86" s="23">
        <v>0</v>
      </c>
      <c r="E86" s="23">
        <v>0</v>
      </c>
      <c r="F86" s="23">
        <v>0</v>
      </c>
      <c r="G86" s="23">
        <v>0</v>
      </c>
      <c r="H86" s="23">
        <v>0</v>
      </c>
      <c r="I86" s="23">
        <v>0</v>
      </c>
      <c r="J86" s="23">
        <v>0</v>
      </c>
      <c r="K86" s="23">
        <v>0</v>
      </c>
      <c r="L86" s="23"/>
      <c r="M86" s="24">
        <f t="shared" si="3"/>
        <v>1126841</v>
      </c>
    </row>
    <row r="87" spans="1:13" ht="38.25">
      <c r="A87" s="22" t="s">
        <v>404</v>
      </c>
      <c r="B87" s="1" t="s">
        <v>131</v>
      </c>
      <c r="C87" s="23">
        <v>9210516</v>
      </c>
      <c r="D87" s="23">
        <v>0</v>
      </c>
      <c r="E87" s="23">
        <v>0</v>
      </c>
      <c r="F87" s="23">
        <v>0</v>
      </c>
      <c r="G87" s="23">
        <v>0</v>
      </c>
      <c r="H87" s="23">
        <v>0</v>
      </c>
      <c r="I87" s="23">
        <v>0</v>
      </c>
      <c r="J87" s="23">
        <v>0</v>
      </c>
      <c r="K87" s="23">
        <v>0</v>
      </c>
      <c r="L87" s="23"/>
      <c r="M87" s="24">
        <f t="shared" si="3"/>
        <v>9210516</v>
      </c>
    </row>
    <row r="88" spans="1:13" ht="38.25">
      <c r="A88" s="22" t="s">
        <v>404</v>
      </c>
      <c r="B88" s="1" t="s">
        <v>544</v>
      </c>
      <c r="C88" s="23">
        <v>18632464</v>
      </c>
      <c r="D88" s="23">
        <v>0</v>
      </c>
      <c r="E88" s="23">
        <v>0</v>
      </c>
      <c r="F88" s="23">
        <v>0</v>
      </c>
      <c r="G88" s="23">
        <v>0</v>
      </c>
      <c r="H88" s="23">
        <v>0</v>
      </c>
      <c r="I88" s="23">
        <v>0</v>
      </c>
      <c r="J88" s="23">
        <v>0</v>
      </c>
      <c r="K88" s="23">
        <v>0</v>
      </c>
      <c r="L88" s="23"/>
      <c r="M88" s="24">
        <f t="shared" si="3"/>
        <v>18632464</v>
      </c>
    </row>
    <row r="89" spans="1:13" ht="51">
      <c r="A89" s="22" t="s">
        <v>297</v>
      </c>
      <c r="B89" s="1" t="s">
        <v>373</v>
      </c>
      <c r="C89" s="23">
        <v>871530</v>
      </c>
      <c r="D89" s="23">
        <v>0</v>
      </c>
      <c r="E89" s="23">
        <v>0</v>
      </c>
      <c r="F89" s="23">
        <v>0</v>
      </c>
      <c r="G89" s="23">
        <v>0</v>
      </c>
      <c r="H89" s="23">
        <v>0</v>
      </c>
      <c r="I89" s="23">
        <v>0</v>
      </c>
      <c r="J89" s="23">
        <v>0</v>
      </c>
      <c r="K89" s="23">
        <v>0</v>
      </c>
      <c r="L89" s="23"/>
      <c r="M89" s="24">
        <f t="shared" si="3"/>
        <v>871530</v>
      </c>
    </row>
    <row r="90" spans="1:13" ht="38.25">
      <c r="A90" s="22" t="s">
        <v>297</v>
      </c>
      <c r="B90" s="1" t="s">
        <v>545</v>
      </c>
      <c r="C90" s="23">
        <v>8062270</v>
      </c>
      <c r="D90" s="23">
        <v>0</v>
      </c>
      <c r="E90" s="23">
        <v>0</v>
      </c>
      <c r="F90" s="23">
        <v>0</v>
      </c>
      <c r="G90" s="23">
        <v>0</v>
      </c>
      <c r="H90" s="23">
        <v>0</v>
      </c>
      <c r="I90" s="23">
        <v>0</v>
      </c>
      <c r="J90" s="23">
        <v>0</v>
      </c>
      <c r="K90" s="23">
        <v>0</v>
      </c>
      <c r="L90" s="23"/>
      <c r="M90" s="24">
        <f t="shared" si="3"/>
        <v>8062270</v>
      </c>
    </row>
    <row r="91" spans="1:13" ht="63.75">
      <c r="A91" s="22" t="s">
        <v>355</v>
      </c>
      <c r="B91" s="1" t="s">
        <v>407</v>
      </c>
      <c r="C91" s="23">
        <v>74066</v>
      </c>
      <c r="D91" s="23">
        <v>0</v>
      </c>
      <c r="E91" s="23">
        <v>0</v>
      </c>
      <c r="F91" s="23">
        <v>0</v>
      </c>
      <c r="G91" s="23">
        <v>0</v>
      </c>
      <c r="H91" s="23">
        <v>0</v>
      </c>
      <c r="I91" s="23">
        <v>0</v>
      </c>
      <c r="J91" s="23">
        <v>0</v>
      </c>
      <c r="K91" s="23">
        <v>0</v>
      </c>
      <c r="L91" s="23"/>
      <c r="M91" s="24">
        <f t="shared" si="3"/>
        <v>74066</v>
      </c>
    </row>
    <row r="92" spans="1:13" ht="51">
      <c r="A92" s="22" t="s">
        <v>355</v>
      </c>
      <c r="B92" s="1" t="s">
        <v>546</v>
      </c>
      <c r="C92" s="23">
        <f>SUM(Прил3!C172)</f>
        <v>75078.95999999999</v>
      </c>
      <c r="D92" s="23">
        <f>SUM(Прил3!D172)</f>
        <v>0</v>
      </c>
      <c r="E92" s="23">
        <f>SUM(Прил3!E172)</f>
        <v>0</v>
      </c>
      <c r="F92" s="23">
        <f>SUM(Прил3!F172)</f>
        <v>0</v>
      </c>
      <c r="G92" s="23">
        <f>SUM(Прил3!G172)</f>
        <v>0</v>
      </c>
      <c r="H92" s="23">
        <f>SUM(Прил3!H172)</f>
        <v>0</v>
      </c>
      <c r="I92" s="23">
        <f>SUM(Прил3!I172)</f>
        <v>0</v>
      </c>
      <c r="J92" s="23">
        <f>SUM(Прил3!J172)</f>
        <v>0</v>
      </c>
      <c r="K92" s="23">
        <f>SUM(Прил3!K172)</f>
        <v>0</v>
      </c>
      <c r="L92" s="23"/>
      <c r="M92" s="24">
        <f t="shared" si="3"/>
        <v>75078.95999999999</v>
      </c>
    </row>
    <row r="93" spans="1:13" ht="25.5">
      <c r="A93" s="22" t="s">
        <v>405</v>
      </c>
      <c r="B93" s="1" t="s">
        <v>632</v>
      </c>
      <c r="C93" s="23">
        <f>3391573+161253</f>
        <v>3552826</v>
      </c>
      <c r="D93" s="23">
        <v>0</v>
      </c>
      <c r="E93" s="23">
        <v>0</v>
      </c>
      <c r="F93" s="23">
        <v>0</v>
      </c>
      <c r="G93" s="23">
        <v>0</v>
      </c>
      <c r="H93" s="23">
        <v>0</v>
      </c>
      <c r="I93" s="23">
        <v>0</v>
      </c>
      <c r="J93" s="23">
        <v>0</v>
      </c>
      <c r="K93" s="23">
        <v>0</v>
      </c>
      <c r="L93" s="23"/>
      <c r="M93" s="24">
        <f t="shared" si="3"/>
        <v>3552826</v>
      </c>
    </row>
    <row r="94" spans="1:13" ht="64.5" customHeight="1">
      <c r="A94" s="22"/>
      <c r="B94" s="1" t="s">
        <v>437</v>
      </c>
      <c r="C94" s="23">
        <v>1543940</v>
      </c>
      <c r="D94" s="23">
        <v>0</v>
      </c>
      <c r="E94" s="23">
        <v>0</v>
      </c>
      <c r="F94" s="23">
        <v>0</v>
      </c>
      <c r="G94" s="23">
        <v>0</v>
      </c>
      <c r="H94" s="23">
        <v>0</v>
      </c>
      <c r="I94" s="23">
        <v>0</v>
      </c>
      <c r="J94" s="23">
        <v>0</v>
      </c>
      <c r="K94" s="23">
        <v>0</v>
      </c>
      <c r="L94" s="23"/>
      <c r="M94" s="24">
        <f t="shared" si="3"/>
        <v>1543940</v>
      </c>
    </row>
    <row r="95" spans="1:13" ht="89.25">
      <c r="A95" s="22"/>
      <c r="B95" s="2" t="s">
        <v>438</v>
      </c>
      <c r="C95" s="23">
        <v>193800</v>
      </c>
      <c r="D95" s="23">
        <v>0</v>
      </c>
      <c r="E95" s="23">
        <v>0</v>
      </c>
      <c r="F95" s="23">
        <v>0</v>
      </c>
      <c r="G95" s="23">
        <v>0</v>
      </c>
      <c r="H95" s="23">
        <v>0</v>
      </c>
      <c r="I95" s="23">
        <v>0</v>
      </c>
      <c r="J95" s="23">
        <v>0</v>
      </c>
      <c r="K95" s="23">
        <v>0</v>
      </c>
      <c r="L95" s="23"/>
      <c r="M95" s="24">
        <f t="shared" si="3"/>
        <v>193800</v>
      </c>
    </row>
    <row r="96" spans="1:13" ht="38.25">
      <c r="A96" s="22"/>
      <c r="B96" s="2" t="s">
        <v>439</v>
      </c>
      <c r="C96" s="23">
        <v>8930</v>
      </c>
      <c r="D96" s="23">
        <v>0</v>
      </c>
      <c r="E96" s="23">
        <v>0</v>
      </c>
      <c r="F96" s="23">
        <v>0</v>
      </c>
      <c r="G96" s="23">
        <v>0</v>
      </c>
      <c r="H96" s="23">
        <v>0</v>
      </c>
      <c r="I96" s="23">
        <v>0</v>
      </c>
      <c r="J96" s="23">
        <v>0</v>
      </c>
      <c r="K96" s="23">
        <v>0</v>
      </c>
      <c r="L96" s="23"/>
      <c r="M96" s="24">
        <f t="shared" si="3"/>
        <v>8930</v>
      </c>
    </row>
    <row r="97" spans="1:13" ht="38.25">
      <c r="A97" s="22" t="s">
        <v>406</v>
      </c>
      <c r="B97" s="1" t="s">
        <v>440</v>
      </c>
      <c r="C97" s="23">
        <v>5522540</v>
      </c>
      <c r="D97" s="23">
        <v>0</v>
      </c>
      <c r="E97" s="23">
        <v>0</v>
      </c>
      <c r="F97" s="23">
        <v>0</v>
      </c>
      <c r="G97" s="23">
        <v>0</v>
      </c>
      <c r="H97" s="23">
        <v>0</v>
      </c>
      <c r="I97" s="23">
        <v>0</v>
      </c>
      <c r="J97" s="23">
        <v>0</v>
      </c>
      <c r="K97" s="23">
        <v>0</v>
      </c>
      <c r="L97" s="23"/>
      <c r="M97" s="24">
        <f t="shared" si="3"/>
        <v>5522540</v>
      </c>
    </row>
    <row r="98" spans="1:13" ht="38.25">
      <c r="A98" s="22"/>
      <c r="B98" s="1" t="s">
        <v>440</v>
      </c>
      <c r="C98" s="23">
        <v>5522540</v>
      </c>
      <c r="D98" s="23">
        <v>0</v>
      </c>
      <c r="E98" s="23">
        <v>0</v>
      </c>
      <c r="F98" s="23">
        <v>0</v>
      </c>
      <c r="G98" s="23">
        <v>0</v>
      </c>
      <c r="H98" s="23">
        <v>0</v>
      </c>
      <c r="I98" s="23">
        <v>0</v>
      </c>
      <c r="J98" s="23">
        <v>0</v>
      </c>
      <c r="K98" s="23">
        <v>0</v>
      </c>
      <c r="L98" s="23"/>
      <c r="M98" s="24">
        <f t="shared" si="3"/>
        <v>5522540</v>
      </c>
    </row>
    <row r="99" spans="1:13" ht="76.5">
      <c r="A99" s="22" t="s">
        <v>547</v>
      </c>
      <c r="B99" s="1" t="s">
        <v>278</v>
      </c>
      <c r="C99" s="23">
        <v>17134</v>
      </c>
      <c r="D99" s="23">
        <v>0</v>
      </c>
      <c r="E99" s="23">
        <v>0</v>
      </c>
      <c r="F99" s="23">
        <v>0</v>
      </c>
      <c r="G99" s="23">
        <v>0</v>
      </c>
      <c r="H99" s="23">
        <v>0</v>
      </c>
      <c r="I99" s="23">
        <v>0</v>
      </c>
      <c r="J99" s="23">
        <v>0</v>
      </c>
      <c r="K99" s="23">
        <v>0</v>
      </c>
      <c r="L99" s="23"/>
      <c r="M99" s="24">
        <f t="shared" si="3"/>
        <v>17134</v>
      </c>
    </row>
    <row r="100" spans="1:13" ht="76.5">
      <c r="A100" s="22" t="s">
        <v>547</v>
      </c>
      <c r="B100" s="1" t="s">
        <v>441</v>
      </c>
      <c r="C100" s="23">
        <f>SUM(Прил3!C181)</f>
        <v>18499.54</v>
      </c>
      <c r="D100" s="23">
        <v>0</v>
      </c>
      <c r="E100" s="23">
        <v>0</v>
      </c>
      <c r="F100" s="23">
        <v>0</v>
      </c>
      <c r="G100" s="23">
        <v>0</v>
      </c>
      <c r="H100" s="23">
        <v>0</v>
      </c>
      <c r="I100" s="23">
        <v>0</v>
      </c>
      <c r="J100" s="23">
        <v>0</v>
      </c>
      <c r="K100" s="23">
        <v>0</v>
      </c>
      <c r="L100" s="23"/>
      <c r="M100" s="24">
        <f t="shared" si="3"/>
        <v>18499.54</v>
      </c>
    </row>
    <row r="101" spans="1:13" ht="38.25">
      <c r="A101" s="22" t="s">
        <v>411</v>
      </c>
      <c r="B101" s="1" t="s">
        <v>290</v>
      </c>
      <c r="C101" s="23">
        <v>810920</v>
      </c>
      <c r="D101" s="23">
        <v>0</v>
      </c>
      <c r="E101" s="23">
        <v>0</v>
      </c>
      <c r="F101" s="23">
        <v>0</v>
      </c>
      <c r="G101" s="23">
        <v>0</v>
      </c>
      <c r="H101" s="23">
        <v>0</v>
      </c>
      <c r="I101" s="23">
        <v>0</v>
      </c>
      <c r="J101" s="23">
        <v>0</v>
      </c>
      <c r="K101" s="23">
        <v>0</v>
      </c>
      <c r="L101" s="23"/>
      <c r="M101" s="24">
        <f t="shared" si="3"/>
        <v>810920</v>
      </c>
    </row>
    <row r="102" spans="1:13" ht="25.5">
      <c r="A102" s="22" t="s">
        <v>464</v>
      </c>
      <c r="B102" s="1" t="s">
        <v>321</v>
      </c>
      <c r="C102" s="23">
        <f>SUM(Прил3!C48)</f>
        <v>6036804</v>
      </c>
      <c r="D102" s="23">
        <f>SUM(Прил3!D48)</f>
        <v>4460240</v>
      </c>
      <c r="E102" s="23">
        <f>SUM(Прил3!E48)</f>
        <v>46380</v>
      </c>
      <c r="F102" s="23">
        <f>SUM(Прил3!F48)</f>
        <v>0</v>
      </c>
      <c r="G102" s="23">
        <f>SUM(Прил3!G48)</f>
        <v>0</v>
      </c>
      <c r="H102" s="23">
        <f>SUM(Прил3!H48)</f>
        <v>0</v>
      </c>
      <c r="I102" s="23">
        <f>SUM(Прил3!I48)</f>
        <v>0</v>
      </c>
      <c r="J102" s="23">
        <f>SUM(Прил3!J48)</f>
        <v>0</v>
      </c>
      <c r="K102" s="23">
        <f>SUM(Прил3!K48)</f>
        <v>0</v>
      </c>
      <c r="L102" s="23"/>
      <c r="M102" s="24">
        <f t="shared" si="3"/>
        <v>6036804</v>
      </c>
    </row>
    <row r="103" spans="1:13" ht="25.5">
      <c r="A103" s="22" t="s">
        <v>465</v>
      </c>
      <c r="B103" s="1" t="s">
        <v>541</v>
      </c>
      <c r="C103" s="23">
        <v>296259</v>
      </c>
      <c r="D103" s="23">
        <v>0</v>
      </c>
      <c r="E103" s="23">
        <v>0</v>
      </c>
      <c r="F103" s="23">
        <v>0</v>
      </c>
      <c r="G103" s="23">
        <v>0</v>
      </c>
      <c r="H103" s="23">
        <v>0</v>
      </c>
      <c r="I103" s="23">
        <v>0</v>
      </c>
      <c r="J103" s="23">
        <v>0</v>
      </c>
      <c r="K103" s="23">
        <v>0</v>
      </c>
      <c r="L103" s="23"/>
      <c r="M103" s="24">
        <f t="shared" si="3"/>
        <v>296259</v>
      </c>
    </row>
    <row r="104" spans="1:13" ht="25.5">
      <c r="A104" s="22" t="s">
        <v>466</v>
      </c>
      <c r="B104" s="1" t="s">
        <v>36</v>
      </c>
      <c r="C104" s="23">
        <f>SUM(Прил3!C50)</f>
        <v>4679714</v>
      </c>
      <c r="D104" s="23">
        <f>SUM(Прил3!D50)</f>
        <v>3234740</v>
      </c>
      <c r="E104" s="23">
        <f>SUM(Прил3!E50)</f>
        <v>240540</v>
      </c>
      <c r="F104" s="23">
        <f>SUM(Прил3!F50)</f>
        <v>83600</v>
      </c>
      <c r="G104" s="23">
        <f>SUM(Прил3!G50)</f>
        <v>83600</v>
      </c>
      <c r="H104" s="23">
        <f>SUM(Прил3!H50)</f>
        <v>0</v>
      </c>
      <c r="I104" s="23">
        <f>SUM(Прил3!I50)</f>
        <v>24700</v>
      </c>
      <c r="J104" s="23">
        <f>SUM(Прил3!J50)</f>
        <v>0</v>
      </c>
      <c r="K104" s="23">
        <f>SUM(Прил3!K50)</f>
        <v>0</v>
      </c>
      <c r="L104" s="23"/>
      <c r="M104" s="24">
        <f t="shared" si="3"/>
        <v>4763314</v>
      </c>
    </row>
    <row r="105" spans="1:13" ht="12.75">
      <c r="A105" s="22" t="s">
        <v>467</v>
      </c>
      <c r="B105" s="1" t="s">
        <v>640</v>
      </c>
      <c r="C105" s="23">
        <f>SUM(Прил3!C51)</f>
        <v>152320</v>
      </c>
      <c r="D105" s="23">
        <v>0</v>
      </c>
      <c r="E105" s="23">
        <v>0</v>
      </c>
      <c r="F105" s="23">
        <v>0</v>
      </c>
      <c r="G105" s="23">
        <v>0</v>
      </c>
      <c r="H105" s="23">
        <v>0</v>
      </c>
      <c r="I105" s="23">
        <v>0</v>
      </c>
      <c r="J105" s="23">
        <v>0</v>
      </c>
      <c r="K105" s="23">
        <v>0</v>
      </c>
      <c r="L105" s="23"/>
      <c r="M105" s="24">
        <f t="shared" si="3"/>
        <v>152320</v>
      </c>
    </row>
    <row r="106" spans="1:13" ht="65.25" customHeight="1">
      <c r="A106" s="22" t="s">
        <v>460</v>
      </c>
      <c r="B106" s="1" t="s">
        <v>291</v>
      </c>
      <c r="C106" s="23">
        <f>SUM(Прил3!C36+Прил3!C52+Прил3!C183)</f>
        <v>201800</v>
      </c>
      <c r="D106" s="23">
        <v>0</v>
      </c>
      <c r="E106" s="23">
        <v>0</v>
      </c>
      <c r="F106" s="23">
        <v>0</v>
      </c>
      <c r="G106" s="23">
        <v>0</v>
      </c>
      <c r="H106" s="23">
        <v>0</v>
      </c>
      <c r="I106" s="23">
        <v>0</v>
      </c>
      <c r="J106" s="23">
        <v>0</v>
      </c>
      <c r="K106" s="23">
        <v>0</v>
      </c>
      <c r="L106" s="23"/>
      <c r="M106" s="24">
        <f t="shared" si="3"/>
        <v>201800</v>
      </c>
    </row>
    <row r="107" spans="1:13" ht="38.25">
      <c r="A107" s="22" t="s">
        <v>412</v>
      </c>
      <c r="B107" s="1" t="s">
        <v>646</v>
      </c>
      <c r="C107" s="23">
        <f>SUM(Прил3!C184)</f>
        <v>23309630</v>
      </c>
      <c r="D107" s="23">
        <f>SUM(Прил3!D184)</f>
        <v>16784100</v>
      </c>
      <c r="E107" s="23">
        <f>SUM(Прил3!E184)</f>
        <v>286140</v>
      </c>
      <c r="F107" s="23">
        <f>SUM(Прил3!F184)</f>
        <v>79800</v>
      </c>
      <c r="G107" s="23">
        <f>SUM(Прил3!G184)</f>
        <v>79800</v>
      </c>
      <c r="H107" s="23">
        <f>SUM(Прил3!H184)</f>
        <v>52820</v>
      </c>
      <c r="I107" s="23">
        <f>SUM(Прил3!I184)</f>
        <v>0</v>
      </c>
      <c r="J107" s="23">
        <f>SUM(Прил3!J184)</f>
        <v>0</v>
      </c>
      <c r="K107" s="23">
        <f>SUM(Прил3!K184)</f>
        <v>0</v>
      </c>
      <c r="L107" s="23"/>
      <c r="M107" s="24">
        <f t="shared" si="3"/>
        <v>23389430</v>
      </c>
    </row>
    <row r="108" spans="1:13" ht="76.5">
      <c r="A108" s="22" t="s">
        <v>413</v>
      </c>
      <c r="B108" s="2" t="s">
        <v>761</v>
      </c>
      <c r="C108" s="23">
        <v>2026920</v>
      </c>
      <c r="D108" s="23">
        <v>0</v>
      </c>
      <c r="E108" s="23">
        <v>0</v>
      </c>
      <c r="F108" s="23">
        <v>0</v>
      </c>
      <c r="G108" s="23">
        <v>0</v>
      </c>
      <c r="H108" s="23">
        <v>0</v>
      </c>
      <c r="I108" s="23">
        <v>0</v>
      </c>
      <c r="J108" s="23">
        <v>0</v>
      </c>
      <c r="K108" s="23">
        <v>0</v>
      </c>
      <c r="L108" s="23"/>
      <c r="M108" s="24">
        <f t="shared" si="3"/>
        <v>2026920</v>
      </c>
    </row>
    <row r="109" spans="1:13" ht="75.75" customHeight="1">
      <c r="A109" s="22" t="s">
        <v>16</v>
      </c>
      <c r="B109" s="1" t="s">
        <v>360</v>
      </c>
      <c r="C109" s="23">
        <v>2642710</v>
      </c>
      <c r="D109" s="23">
        <v>0</v>
      </c>
      <c r="E109" s="23">
        <v>0</v>
      </c>
      <c r="F109" s="23">
        <v>0</v>
      </c>
      <c r="G109" s="23">
        <v>0</v>
      </c>
      <c r="H109" s="23">
        <v>0</v>
      </c>
      <c r="I109" s="23">
        <v>0</v>
      </c>
      <c r="J109" s="23">
        <v>0</v>
      </c>
      <c r="K109" s="23">
        <v>0</v>
      </c>
      <c r="L109" s="23"/>
      <c r="M109" s="24">
        <f t="shared" si="3"/>
        <v>2642710</v>
      </c>
    </row>
    <row r="110" spans="1:13" ht="51">
      <c r="A110" s="22"/>
      <c r="B110" s="1" t="s">
        <v>433</v>
      </c>
      <c r="C110" s="23">
        <v>2598630</v>
      </c>
      <c r="D110" s="23">
        <v>0</v>
      </c>
      <c r="E110" s="23">
        <v>0</v>
      </c>
      <c r="F110" s="23">
        <v>0</v>
      </c>
      <c r="G110" s="23">
        <v>0</v>
      </c>
      <c r="H110" s="23">
        <v>0</v>
      </c>
      <c r="I110" s="23">
        <v>0</v>
      </c>
      <c r="J110" s="23">
        <v>0</v>
      </c>
      <c r="K110" s="23">
        <v>0</v>
      </c>
      <c r="L110" s="23"/>
      <c r="M110" s="24">
        <f t="shared" si="3"/>
        <v>2598630</v>
      </c>
    </row>
    <row r="111" spans="1:13" ht="63.75">
      <c r="A111" s="22"/>
      <c r="B111" s="2" t="s">
        <v>17</v>
      </c>
      <c r="C111" s="23">
        <v>40660</v>
      </c>
      <c r="D111" s="23">
        <v>0</v>
      </c>
      <c r="E111" s="23">
        <v>0</v>
      </c>
      <c r="F111" s="23">
        <v>0</v>
      </c>
      <c r="G111" s="23">
        <v>0</v>
      </c>
      <c r="H111" s="23">
        <v>0</v>
      </c>
      <c r="I111" s="23">
        <v>0</v>
      </c>
      <c r="J111" s="23">
        <v>0</v>
      </c>
      <c r="K111" s="23">
        <v>0</v>
      </c>
      <c r="L111" s="23"/>
      <c r="M111" s="24">
        <f t="shared" si="3"/>
        <v>40660</v>
      </c>
    </row>
    <row r="112" spans="1:13" ht="153">
      <c r="A112" s="22"/>
      <c r="B112" s="1" t="s">
        <v>277</v>
      </c>
      <c r="C112" s="23">
        <v>3420</v>
      </c>
      <c r="D112" s="23">
        <v>0</v>
      </c>
      <c r="E112" s="23">
        <v>0</v>
      </c>
      <c r="F112" s="23">
        <v>0</v>
      </c>
      <c r="G112" s="23">
        <v>0</v>
      </c>
      <c r="H112" s="23">
        <v>0</v>
      </c>
      <c r="I112" s="23">
        <v>0</v>
      </c>
      <c r="J112" s="23">
        <v>0</v>
      </c>
      <c r="K112" s="23">
        <v>0</v>
      </c>
      <c r="L112" s="23"/>
      <c r="M112" s="24">
        <f t="shared" si="3"/>
        <v>3420</v>
      </c>
    </row>
    <row r="113" spans="1:13" ht="25.5">
      <c r="A113" s="22" t="s">
        <v>414</v>
      </c>
      <c r="B113" s="1" t="s">
        <v>599</v>
      </c>
      <c r="C113" s="23">
        <v>485640</v>
      </c>
      <c r="D113" s="23">
        <v>0</v>
      </c>
      <c r="E113" s="23">
        <v>0</v>
      </c>
      <c r="F113" s="23">
        <v>0</v>
      </c>
      <c r="G113" s="23">
        <v>0</v>
      </c>
      <c r="H113" s="23">
        <v>0</v>
      </c>
      <c r="I113" s="23">
        <v>0</v>
      </c>
      <c r="J113" s="23">
        <v>0</v>
      </c>
      <c r="K113" s="23">
        <v>0</v>
      </c>
      <c r="L113" s="23"/>
      <c r="M113" s="24">
        <f t="shared" si="3"/>
        <v>485640</v>
      </c>
    </row>
    <row r="114" spans="1:13" ht="51">
      <c r="A114" s="22" t="s">
        <v>415</v>
      </c>
      <c r="B114" s="1" t="s">
        <v>421</v>
      </c>
      <c r="C114" s="23">
        <v>13299354</v>
      </c>
      <c r="D114" s="23">
        <v>0</v>
      </c>
      <c r="E114" s="23">
        <v>0</v>
      </c>
      <c r="F114" s="23">
        <v>0</v>
      </c>
      <c r="G114" s="23">
        <v>0</v>
      </c>
      <c r="H114" s="23">
        <v>0</v>
      </c>
      <c r="I114" s="23">
        <v>0</v>
      </c>
      <c r="J114" s="23">
        <v>0</v>
      </c>
      <c r="K114" s="23">
        <v>0</v>
      </c>
      <c r="L114" s="23"/>
      <c r="M114" s="24">
        <f t="shared" si="3"/>
        <v>13299354</v>
      </c>
    </row>
    <row r="115" spans="1:13" ht="38.25">
      <c r="A115" s="22" t="s">
        <v>415</v>
      </c>
      <c r="B115" s="1" t="s">
        <v>18</v>
      </c>
      <c r="C115" s="23">
        <v>41898306</v>
      </c>
      <c r="D115" s="23">
        <v>0</v>
      </c>
      <c r="E115" s="23">
        <v>0</v>
      </c>
      <c r="F115" s="23">
        <v>0</v>
      </c>
      <c r="G115" s="23">
        <v>0</v>
      </c>
      <c r="H115" s="23">
        <v>0</v>
      </c>
      <c r="I115" s="23">
        <v>0</v>
      </c>
      <c r="J115" s="23">
        <v>0</v>
      </c>
      <c r="K115" s="23">
        <v>0</v>
      </c>
      <c r="L115" s="23"/>
      <c r="M115" s="24">
        <f t="shared" si="3"/>
        <v>41898306</v>
      </c>
    </row>
    <row r="116" spans="1:13" ht="52.5" customHeight="1">
      <c r="A116" s="22" t="s">
        <v>416</v>
      </c>
      <c r="B116" s="1" t="s">
        <v>741</v>
      </c>
      <c r="C116" s="23">
        <f>239172-120000</f>
        <v>119172</v>
      </c>
      <c r="D116" s="23">
        <v>0</v>
      </c>
      <c r="E116" s="23">
        <v>0</v>
      </c>
      <c r="F116" s="23">
        <v>0</v>
      </c>
      <c r="G116" s="23">
        <v>0</v>
      </c>
      <c r="H116" s="23">
        <v>0</v>
      </c>
      <c r="I116" s="23">
        <v>0</v>
      </c>
      <c r="J116" s="23">
        <v>0</v>
      </c>
      <c r="K116" s="23">
        <v>0</v>
      </c>
      <c r="L116" s="23"/>
      <c r="M116" s="24">
        <f t="shared" si="3"/>
        <v>119172</v>
      </c>
    </row>
    <row r="117" spans="1:13" ht="25.5">
      <c r="A117" s="22" t="s">
        <v>417</v>
      </c>
      <c r="B117" s="1" t="s">
        <v>684</v>
      </c>
      <c r="C117" s="23">
        <v>4788</v>
      </c>
      <c r="D117" s="23">
        <v>0</v>
      </c>
      <c r="E117" s="23">
        <v>0</v>
      </c>
      <c r="F117" s="23">
        <v>0</v>
      </c>
      <c r="G117" s="23">
        <v>0</v>
      </c>
      <c r="H117" s="23">
        <v>0</v>
      </c>
      <c r="I117" s="23">
        <v>0</v>
      </c>
      <c r="J117" s="23">
        <v>0</v>
      </c>
      <c r="K117" s="23">
        <v>0</v>
      </c>
      <c r="L117" s="23"/>
      <c r="M117" s="24">
        <f t="shared" si="3"/>
        <v>4788</v>
      </c>
    </row>
    <row r="118" spans="1:13" ht="12.75">
      <c r="A118" s="20" t="s">
        <v>685</v>
      </c>
      <c r="B118" s="4" t="s">
        <v>710</v>
      </c>
      <c r="C118" s="21">
        <f>SUM(C119)</f>
        <v>69579041</v>
      </c>
      <c r="D118" s="21">
        <v>0</v>
      </c>
      <c r="E118" s="21">
        <v>4907586</v>
      </c>
      <c r="F118" s="21">
        <v>0</v>
      </c>
      <c r="G118" s="21">
        <v>0</v>
      </c>
      <c r="H118" s="21">
        <v>0</v>
      </c>
      <c r="I118" s="21">
        <v>0</v>
      </c>
      <c r="J118" s="21">
        <v>0</v>
      </c>
      <c r="K118" s="21">
        <v>0</v>
      </c>
      <c r="L118" s="21"/>
      <c r="M118" s="21">
        <f t="shared" si="3"/>
        <v>69579041</v>
      </c>
    </row>
    <row r="119" spans="1:13" ht="12.75">
      <c r="A119" s="22" t="s">
        <v>562</v>
      </c>
      <c r="B119" s="1" t="s">
        <v>642</v>
      </c>
      <c r="C119" s="23">
        <f>SUM(Прил3!C255)</f>
        <v>69579041</v>
      </c>
      <c r="D119" s="23">
        <v>0</v>
      </c>
      <c r="E119" s="23">
        <v>4907586</v>
      </c>
      <c r="F119" s="23">
        <v>0</v>
      </c>
      <c r="G119" s="23">
        <v>0</v>
      </c>
      <c r="H119" s="23">
        <v>0</v>
      </c>
      <c r="I119" s="23">
        <v>0</v>
      </c>
      <c r="J119" s="23">
        <v>0</v>
      </c>
      <c r="K119" s="23">
        <v>0</v>
      </c>
      <c r="L119" s="23"/>
      <c r="M119" s="24">
        <f t="shared" si="3"/>
        <v>69579041</v>
      </c>
    </row>
    <row r="120" spans="1:13" ht="12.75">
      <c r="A120" s="20" t="s">
        <v>418</v>
      </c>
      <c r="B120" s="4" t="s">
        <v>708</v>
      </c>
      <c r="C120" s="21">
        <f>SUM(C121:C126)</f>
        <v>82258161</v>
      </c>
      <c r="D120" s="21">
        <f>SUM(D121:D126)</f>
        <v>55461690</v>
      </c>
      <c r="E120" s="21">
        <f>SUM(E121:E126)</f>
        <v>3161580</v>
      </c>
      <c r="F120" s="21">
        <v>6410790</v>
      </c>
      <c r="G120" s="21">
        <f>SUM(G121:G126)</f>
        <v>6132250</v>
      </c>
      <c r="H120" s="21">
        <f>SUM(H121:H126)</f>
        <v>3373260</v>
      </c>
      <c r="I120" s="21">
        <f>SUM(I121:I126)</f>
        <v>83980</v>
      </c>
      <c r="J120" s="21">
        <f>SUM(J121:J126)</f>
        <v>278540</v>
      </c>
      <c r="K120" s="21">
        <v>0</v>
      </c>
      <c r="L120" s="21"/>
      <c r="M120" s="21">
        <f t="shared" si="3"/>
        <v>88668951</v>
      </c>
    </row>
    <row r="121" spans="1:13" ht="12.75">
      <c r="A121" s="22" t="s">
        <v>556</v>
      </c>
      <c r="B121" s="1" t="s">
        <v>376</v>
      </c>
      <c r="C121" s="23">
        <v>988000</v>
      </c>
      <c r="D121" s="23">
        <v>0</v>
      </c>
      <c r="E121" s="23">
        <v>0</v>
      </c>
      <c r="F121" s="23">
        <v>0</v>
      </c>
      <c r="G121" s="23">
        <v>0</v>
      </c>
      <c r="H121" s="23">
        <v>0</v>
      </c>
      <c r="I121" s="23">
        <v>0</v>
      </c>
      <c r="J121" s="23">
        <v>0</v>
      </c>
      <c r="K121" s="23">
        <v>0</v>
      </c>
      <c r="L121" s="23"/>
      <c r="M121" s="24">
        <f t="shared" si="3"/>
        <v>988000</v>
      </c>
    </row>
    <row r="122" spans="1:13" ht="12.75">
      <c r="A122" s="22" t="s">
        <v>557</v>
      </c>
      <c r="B122" s="1" t="s">
        <v>377</v>
      </c>
      <c r="C122" s="23">
        <f>SUM(Прил3!C228)</f>
        <v>15917453</v>
      </c>
      <c r="D122" s="23">
        <f>SUM(Прил3!D228)</f>
        <v>10818420</v>
      </c>
      <c r="E122" s="23">
        <f>SUM(Прил3!E228)</f>
        <v>1093260</v>
      </c>
      <c r="F122" s="23">
        <f>SUM(Прил3!F228)</f>
        <v>233320</v>
      </c>
      <c r="G122" s="23">
        <f>SUM(Прил3!G228)</f>
        <v>195320</v>
      </c>
      <c r="H122" s="23">
        <f>SUM(Прил3!H228)</f>
        <v>9500</v>
      </c>
      <c r="I122" s="23">
        <f>SUM(Прил3!I228)</f>
        <v>0</v>
      </c>
      <c r="J122" s="23">
        <f>SUM(Прил3!J228)</f>
        <v>38000</v>
      </c>
      <c r="K122" s="23">
        <v>0</v>
      </c>
      <c r="L122" s="23"/>
      <c r="M122" s="24">
        <f t="shared" si="3"/>
        <v>16150773</v>
      </c>
    </row>
    <row r="123" spans="1:13" ht="12.75">
      <c r="A123" s="22" t="s">
        <v>558</v>
      </c>
      <c r="B123" s="1" t="s">
        <v>378</v>
      </c>
      <c r="C123" s="23">
        <f>SUM(Прил3!C229)</f>
        <v>8332398</v>
      </c>
      <c r="D123" s="23">
        <f>SUM(Прил3!D229)</f>
        <v>5820280</v>
      </c>
      <c r="E123" s="23">
        <f>SUM(Прил3!E229)</f>
        <v>384560</v>
      </c>
      <c r="F123" s="23">
        <f>SUM(Прил3!F229)</f>
        <v>912000</v>
      </c>
      <c r="G123" s="23">
        <f>SUM(Прил3!G229)</f>
        <v>709460</v>
      </c>
      <c r="H123" s="23">
        <f>SUM(Прил3!H229)</f>
        <v>57760</v>
      </c>
      <c r="I123" s="23">
        <f>SUM(Прил3!I229)</f>
        <v>11400</v>
      </c>
      <c r="J123" s="23">
        <f>SUM(Прил3!J229)</f>
        <v>202540</v>
      </c>
      <c r="K123" s="23">
        <v>0</v>
      </c>
      <c r="L123" s="23"/>
      <c r="M123" s="24">
        <f t="shared" si="3"/>
        <v>9244398</v>
      </c>
    </row>
    <row r="124" spans="1:13" ht="25.5">
      <c r="A124" s="22" t="s">
        <v>555</v>
      </c>
      <c r="B124" s="1" t="s">
        <v>410</v>
      </c>
      <c r="C124" s="23">
        <f>SUM(Прил3!C230+Прил3!C216)</f>
        <v>7258830</v>
      </c>
      <c r="D124" s="23">
        <f>SUM(Прил3!D230)</f>
        <v>4824180</v>
      </c>
      <c r="E124" s="23">
        <f>SUM(Прил3!E230)</f>
        <v>240920</v>
      </c>
      <c r="F124" s="23">
        <f>SUM(Прил3!F230)</f>
        <v>228570</v>
      </c>
      <c r="G124" s="23">
        <f>SUM(Прил3!G230)</f>
        <v>228570</v>
      </c>
      <c r="H124" s="23">
        <f>SUM(Прил3!H230)</f>
        <v>0</v>
      </c>
      <c r="I124" s="23">
        <f>SUM(Прил3!I230)</f>
        <v>33060</v>
      </c>
      <c r="J124" s="23">
        <v>0</v>
      </c>
      <c r="K124" s="23">
        <v>0</v>
      </c>
      <c r="L124" s="23"/>
      <c r="M124" s="24">
        <f t="shared" si="3"/>
        <v>7487400</v>
      </c>
    </row>
    <row r="125" spans="1:13" ht="12.75">
      <c r="A125" s="22" t="s">
        <v>559</v>
      </c>
      <c r="B125" s="1" t="s">
        <v>701</v>
      </c>
      <c r="C125" s="23">
        <f>SUM(Прил3!C231)</f>
        <v>44640971</v>
      </c>
      <c r="D125" s="23">
        <f>SUM(Прил3!D231)</f>
        <v>31761720</v>
      </c>
      <c r="E125" s="23">
        <f>SUM(Прил3!E231)</f>
        <v>1423080</v>
      </c>
      <c r="F125" s="23">
        <f>SUM(Прил3!F231)</f>
        <v>5036900</v>
      </c>
      <c r="G125" s="23">
        <f>SUM(Прил3!G231)</f>
        <v>4998900</v>
      </c>
      <c r="H125" s="23">
        <f>SUM(Прил3!H231)</f>
        <v>3306000</v>
      </c>
      <c r="I125" s="23">
        <f>SUM(Прил3!I231)</f>
        <v>39520</v>
      </c>
      <c r="J125" s="23">
        <f>SUM(Прил3!J231)</f>
        <v>38000</v>
      </c>
      <c r="K125" s="23">
        <v>0</v>
      </c>
      <c r="L125" s="23"/>
      <c r="M125" s="24">
        <f t="shared" si="3"/>
        <v>49677871</v>
      </c>
    </row>
    <row r="126" spans="1:13" ht="25.5">
      <c r="A126" s="22" t="s">
        <v>419</v>
      </c>
      <c r="B126" s="1" t="s">
        <v>702</v>
      </c>
      <c r="C126" s="23">
        <f>SUM(Прил3!C232+Прил3!C196+Прил3!C217)</f>
        <v>5120509</v>
      </c>
      <c r="D126" s="23">
        <f>SUM(Прил3!D232)</f>
        <v>2237090</v>
      </c>
      <c r="E126" s="23">
        <f>SUM(Прил3!E232)</f>
        <v>19760</v>
      </c>
      <c r="F126" s="23">
        <f>SUM(Прил3!F232)</f>
        <v>0</v>
      </c>
      <c r="G126" s="23">
        <f>SUM(Прил3!G232)</f>
        <v>0</v>
      </c>
      <c r="H126" s="23">
        <f>SUM(Прил3!H232)</f>
        <v>0</v>
      </c>
      <c r="I126" s="23">
        <f>SUM(Прил3!I232)</f>
        <v>0</v>
      </c>
      <c r="J126" s="23">
        <f>SUM(Прил3!J232)</f>
        <v>0</v>
      </c>
      <c r="K126" s="23">
        <f>SUM(Прил3!K232)</f>
        <v>0</v>
      </c>
      <c r="L126" s="23"/>
      <c r="M126" s="24">
        <f aca="true" t="shared" si="4" ref="M126:M152">C126+F126</f>
        <v>5120509</v>
      </c>
    </row>
    <row r="127" spans="1:13" ht="12.75">
      <c r="A127" s="20" t="s">
        <v>686</v>
      </c>
      <c r="B127" s="4" t="s">
        <v>711</v>
      </c>
      <c r="C127" s="21">
        <f>SUM(C128:C130)</f>
        <v>24557416</v>
      </c>
      <c r="D127" s="21">
        <f aca="true" t="shared" si="5" ref="D127:K127">SUM(D128:D130)</f>
        <v>12093520</v>
      </c>
      <c r="E127" s="21">
        <f t="shared" si="5"/>
        <v>1000540</v>
      </c>
      <c r="F127" s="21">
        <f t="shared" si="5"/>
        <v>0</v>
      </c>
      <c r="G127" s="21">
        <f t="shared" si="5"/>
        <v>0</v>
      </c>
      <c r="H127" s="21">
        <f t="shared" si="5"/>
        <v>0</v>
      </c>
      <c r="I127" s="21">
        <f t="shared" si="5"/>
        <v>0</v>
      </c>
      <c r="J127" s="21">
        <f t="shared" si="5"/>
        <v>0</v>
      </c>
      <c r="K127" s="21">
        <f t="shared" si="5"/>
        <v>0</v>
      </c>
      <c r="L127" s="21"/>
      <c r="M127" s="21">
        <f t="shared" si="4"/>
        <v>24557416</v>
      </c>
    </row>
    <row r="128" spans="1:13" ht="25.5">
      <c r="A128" s="22" t="s">
        <v>468</v>
      </c>
      <c r="B128" s="1" t="s">
        <v>764</v>
      </c>
      <c r="C128" s="23">
        <f>SUM(Прил3!C61+Прил3!C218)</f>
        <v>4349714</v>
      </c>
      <c r="D128" s="23">
        <f>SUM(Прил3!D61+Прил3!D218)</f>
        <v>0</v>
      </c>
      <c r="E128" s="23">
        <f>SUM(Прил3!E61+Прил3!E218)</f>
        <v>0</v>
      </c>
      <c r="F128" s="23">
        <f>SUM(Прил3!F61+Прил3!F218)</f>
        <v>0</v>
      </c>
      <c r="G128" s="23">
        <f>SUM(Прил3!G61+Прил3!G218)</f>
        <v>0</v>
      </c>
      <c r="H128" s="23">
        <f>SUM(Прил3!H61+Прил3!H218)</f>
        <v>0</v>
      </c>
      <c r="I128" s="23">
        <f>SUM(Прил3!I61+Прил3!I218)</f>
        <v>0</v>
      </c>
      <c r="J128" s="23">
        <f>SUM(Прил3!J61+Прил3!J218)</f>
        <v>0</v>
      </c>
      <c r="K128" s="23">
        <f>SUM(Прил3!K61+Прил3!K218)</f>
        <v>0</v>
      </c>
      <c r="L128" s="23"/>
      <c r="M128" s="24">
        <f t="shared" si="4"/>
        <v>4349714</v>
      </c>
    </row>
    <row r="129" spans="1:13" ht="25.5">
      <c r="A129" s="22" t="s">
        <v>461</v>
      </c>
      <c r="B129" s="1" t="s">
        <v>740</v>
      </c>
      <c r="C129" s="23">
        <f>SUM(Прил3!C64+Прил3!C37)</f>
        <v>17594311</v>
      </c>
      <c r="D129" s="23">
        <f>SUM(Прил3!D64+Прил3!D37)</f>
        <v>12093520</v>
      </c>
      <c r="E129" s="23">
        <f>SUM(Прил3!E64+Прил3!E37)</f>
        <v>1000540</v>
      </c>
      <c r="F129" s="23">
        <v>0</v>
      </c>
      <c r="G129" s="23">
        <v>0</v>
      </c>
      <c r="H129" s="23">
        <v>0</v>
      </c>
      <c r="I129" s="23">
        <v>0</v>
      </c>
      <c r="J129" s="23">
        <v>0</v>
      </c>
      <c r="K129" s="23">
        <v>0</v>
      </c>
      <c r="L129" s="23"/>
      <c r="M129" s="24">
        <f t="shared" si="4"/>
        <v>17594311</v>
      </c>
    </row>
    <row r="130" spans="1:13" ht="25.5">
      <c r="A130" s="22" t="s">
        <v>469</v>
      </c>
      <c r="B130" s="1" t="s">
        <v>446</v>
      </c>
      <c r="C130" s="23">
        <f>SUM(Прил3!C65)</f>
        <v>2613391</v>
      </c>
      <c r="D130" s="23">
        <f>SUM(Прил3!D65)</f>
        <v>0</v>
      </c>
      <c r="E130" s="23">
        <f>SUM(Прил3!E65)</f>
        <v>0</v>
      </c>
      <c r="F130" s="23">
        <f>SUM(Прил3!F65)</f>
        <v>0</v>
      </c>
      <c r="G130" s="23">
        <f>SUM(Прил3!G65)</f>
        <v>0</v>
      </c>
      <c r="H130" s="23">
        <f>SUM(Прил3!H65)</f>
        <v>0</v>
      </c>
      <c r="I130" s="23">
        <f>SUM(Прил3!I65)</f>
        <v>0</v>
      </c>
      <c r="J130" s="23">
        <f>SUM(Прил3!J65)</f>
        <v>0</v>
      </c>
      <c r="K130" s="23">
        <f>SUM(Прил3!K65)</f>
        <v>0</v>
      </c>
      <c r="L130" s="23"/>
      <c r="M130" s="24">
        <f t="shared" si="4"/>
        <v>2613391</v>
      </c>
    </row>
    <row r="131" spans="1:13" ht="12.75">
      <c r="A131" s="20" t="s">
        <v>687</v>
      </c>
      <c r="B131" s="4" t="s">
        <v>643</v>
      </c>
      <c r="C131" s="21">
        <v>0</v>
      </c>
      <c r="D131" s="21">
        <v>0</v>
      </c>
      <c r="E131" s="21">
        <v>0</v>
      </c>
      <c r="F131" s="21">
        <f>SUM(F132+F134+F135+F136)</f>
        <v>197926446</v>
      </c>
      <c r="G131" s="21">
        <v>0</v>
      </c>
      <c r="H131" s="21">
        <v>0</v>
      </c>
      <c r="I131" s="21">
        <v>0</v>
      </c>
      <c r="J131" s="21">
        <f>SUM(J132+J134+J135+J136)</f>
        <v>197926446</v>
      </c>
      <c r="K131" s="21">
        <f>SUM(K132+K134+K135+K136)</f>
        <v>197926446</v>
      </c>
      <c r="L131" s="21">
        <f>SUM(L135)</f>
        <v>0</v>
      </c>
      <c r="M131" s="21">
        <f t="shared" si="4"/>
        <v>197926446</v>
      </c>
    </row>
    <row r="132" spans="1:13" ht="12.75">
      <c r="A132" s="22" t="s">
        <v>584</v>
      </c>
      <c r="B132" s="1" t="s">
        <v>598</v>
      </c>
      <c r="C132" s="23">
        <v>0</v>
      </c>
      <c r="D132" s="23">
        <v>0</v>
      </c>
      <c r="E132" s="23">
        <v>0</v>
      </c>
      <c r="F132" s="23">
        <f>174300600+543700</f>
        <v>174844300</v>
      </c>
      <c r="G132" s="23">
        <v>0</v>
      </c>
      <c r="H132" s="23">
        <v>0</v>
      </c>
      <c r="I132" s="23">
        <v>0</v>
      </c>
      <c r="J132" s="23">
        <f>174300600+543700</f>
        <v>174844300</v>
      </c>
      <c r="K132" s="23">
        <f>174300600+543700</f>
        <v>174844300</v>
      </c>
      <c r="L132" s="23"/>
      <c r="M132" s="24">
        <f t="shared" si="4"/>
        <v>174844300</v>
      </c>
    </row>
    <row r="133" spans="1:13" ht="63.75">
      <c r="A133" s="22"/>
      <c r="B133" s="2" t="s">
        <v>648</v>
      </c>
      <c r="C133" s="23"/>
      <c r="D133" s="23"/>
      <c r="E133" s="23"/>
      <c r="F133" s="23">
        <v>543700</v>
      </c>
      <c r="G133" s="23"/>
      <c r="H133" s="23"/>
      <c r="I133" s="23"/>
      <c r="J133" s="23">
        <v>543700</v>
      </c>
      <c r="K133" s="23">
        <v>543700</v>
      </c>
      <c r="L133" s="23"/>
      <c r="M133" s="24">
        <f>SUM(F133)</f>
        <v>543700</v>
      </c>
    </row>
    <row r="134" spans="1:13" ht="25.5">
      <c r="A134" s="22" t="s">
        <v>584</v>
      </c>
      <c r="B134" s="2" t="s">
        <v>356</v>
      </c>
      <c r="C134" s="23"/>
      <c r="D134" s="23"/>
      <c r="E134" s="23"/>
      <c r="F134" s="23">
        <f>SUM(Прил3!F257+Прил3!F274)</f>
        <v>20893800</v>
      </c>
      <c r="G134" s="23"/>
      <c r="H134" s="23"/>
      <c r="I134" s="23"/>
      <c r="J134" s="23">
        <f>SUM(Прил3!J257+Прил3!J274)</f>
        <v>20893800</v>
      </c>
      <c r="K134" s="23">
        <f>SUM(Прил3!K257+Прил3!K274)</f>
        <v>20893800</v>
      </c>
      <c r="L134" s="23"/>
      <c r="M134" s="24">
        <f>SUM(F134)</f>
        <v>20893800</v>
      </c>
    </row>
    <row r="135" spans="1:13" ht="102">
      <c r="A135" s="44">
        <v>150104</v>
      </c>
      <c r="B135" s="99" t="s">
        <v>742</v>
      </c>
      <c r="C135" s="23"/>
      <c r="D135" s="23"/>
      <c r="E135" s="23"/>
      <c r="F135" s="23">
        <f>SUM(Прил3!F275)</f>
        <v>0</v>
      </c>
      <c r="G135" s="23">
        <f>SUM(Прил3!G275)</f>
        <v>0</v>
      </c>
      <c r="H135" s="23">
        <f>SUM(Прил3!H275)</f>
        <v>0</v>
      </c>
      <c r="I135" s="23">
        <f>SUM(Прил3!I275)</f>
        <v>0</v>
      </c>
      <c r="J135" s="23">
        <f>SUM(Прил3!J275)</f>
        <v>0</v>
      </c>
      <c r="K135" s="23">
        <f>SUM(Прил3!K275)</f>
        <v>0</v>
      </c>
      <c r="L135" s="23">
        <f>SUM(Прил3!L275)</f>
        <v>0</v>
      </c>
      <c r="M135" s="23">
        <f>SUM(Прил3!M275)</f>
        <v>0</v>
      </c>
    </row>
    <row r="136" spans="1:13" ht="25.5">
      <c r="A136" s="22" t="s">
        <v>583</v>
      </c>
      <c r="B136" s="1" t="s">
        <v>738</v>
      </c>
      <c r="C136" s="23">
        <v>0</v>
      </c>
      <c r="D136" s="23">
        <v>0</v>
      </c>
      <c r="E136" s="23">
        <v>0</v>
      </c>
      <c r="F136" s="23">
        <v>2188346</v>
      </c>
      <c r="G136" s="23">
        <v>0</v>
      </c>
      <c r="H136" s="23">
        <v>0</v>
      </c>
      <c r="I136" s="23">
        <v>0</v>
      </c>
      <c r="J136" s="23">
        <v>2188346</v>
      </c>
      <c r="K136" s="23">
        <v>2188346</v>
      </c>
      <c r="L136" s="23"/>
      <c r="M136" s="24">
        <f t="shared" si="4"/>
        <v>2188346</v>
      </c>
    </row>
    <row r="137" spans="1:13" ht="25.5">
      <c r="A137" s="20" t="s">
        <v>688</v>
      </c>
      <c r="B137" s="4" t="s">
        <v>10</v>
      </c>
      <c r="C137" s="21">
        <v>0</v>
      </c>
      <c r="D137" s="21">
        <v>0</v>
      </c>
      <c r="E137" s="21">
        <v>0</v>
      </c>
      <c r="F137" s="21">
        <v>41800</v>
      </c>
      <c r="G137" s="21">
        <v>0</v>
      </c>
      <c r="H137" s="21">
        <v>0</v>
      </c>
      <c r="I137" s="21">
        <v>0</v>
      </c>
      <c r="J137" s="21">
        <v>41800</v>
      </c>
      <c r="K137" s="21">
        <v>41800</v>
      </c>
      <c r="L137" s="21"/>
      <c r="M137" s="21">
        <f t="shared" si="4"/>
        <v>41800</v>
      </c>
    </row>
    <row r="138" spans="1:13" ht="12.75">
      <c r="A138" s="22" t="s">
        <v>564</v>
      </c>
      <c r="B138" s="1" t="s">
        <v>9</v>
      </c>
      <c r="C138" s="23">
        <v>0</v>
      </c>
      <c r="D138" s="23">
        <v>0</v>
      </c>
      <c r="E138" s="23">
        <v>0</v>
      </c>
      <c r="F138" s="23">
        <v>41800</v>
      </c>
      <c r="G138" s="23">
        <v>0</v>
      </c>
      <c r="H138" s="23">
        <v>0</v>
      </c>
      <c r="I138" s="23">
        <v>0</v>
      </c>
      <c r="J138" s="23">
        <v>41800</v>
      </c>
      <c r="K138" s="23">
        <v>41800</v>
      </c>
      <c r="L138" s="23"/>
      <c r="M138" s="24">
        <f t="shared" si="4"/>
        <v>41800</v>
      </c>
    </row>
    <row r="139" spans="1:13" ht="25.5">
      <c r="A139" s="20" t="s">
        <v>689</v>
      </c>
      <c r="B139" s="5" t="s">
        <v>757</v>
      </c>
      <c r="C139" s="21">
        <v>26030000</v>
      </c>
      <c r="D139" s="21">
        <v>0</v>
      </c>
      <c r="E139" s="21">
        <v>0</v>
      </c>
      <c r="F139" s="21">
        <v>19225433</v>
      </c>
      <c r="G139" s="21">
        <v>3444185</v>
      </c>
      <c r="H139" s="21">
        <v>0</v>
      </c>
      <c r="I139" s="21">
        <v>0</v>
      </c>
      <c r="J139" s="21">
        <v>15781248</v>
      </c>
      <c r="K139" s="21">
        <v>0</v>
      </c>
      <c r="L139" s="21"/>
      <c r="M139" s="21">
        <f t="shared" si="4"/>
        <v>45255433</v>
      </c>
    </row>
    <row r="140" spans="1:13" ht="51">
      <c r="A140" s="22" t="s">
        <v>420</v>
      </c>
      <c r="B140" s="26" t="s">
        <v>390</v>
      </c>
      <c r="C140" s="23">
        <v>52060</v>
      </c>
      <c r="D140" s="23">
        <v>0</v>
      </c>
      <c r="E140" s="23">
        <v>0</v>
      </c>
      <c r="F140" s="23">
        <v>0</v>
      </c>
      <c r="G140" s="23">
        <v>0</v>
      </c>
      <c r="H140" s="23">
        <v>0</v>
      </c>
      <c r="I140" s="23">
        <v>0</v>
      </c>
      <c r="J140" s="23">
        <v>0</v>
      </c>
      <c r="K140" s="23">
        <v>0</v>
      </c>
      <c r="L140" s="23"/>
      <c r="M140" s="24">
        <f t="shared" si="4"/>
        <v>52060</v>
      </c>
    </row>
    <row r="141" spans="1:13" ht="51">
      <c r="A141" s="22" t="s">
        <v>420</v>
      </c>
      <c r="B141" s="26" t="s">
        <v>690</v>
      </c>
      <c r="C141" s="23">
        <v>1467940</v>
      </c>
      <c r="D141" s="23">
        <v>0</v>
      </c>
      <c r="E141" s="23">
        <v>0</v>
      </c>
      <c r="F141" s="23">
        <v>0</v>
      </c>
      <c r="G141" s="23">
        <v>0</v>
      </c>
      <c r="H141" s="23">
        <v>0</v>
      </c>
      <c r="I141" s="23">
        <v>0</v>
      </c>
      <c r="J141" s="23">
        <v>0</v>
      </c>
      <c r="K141" s="23">
        <v>0</v>
      </c>
      <c r="L141" s="23"/>
      <c r="M141" s="24">
        <f t="shared" si="4"/>
        <v>1467940</v>
      </c>
    </row>
    <row r="142" spans="1:13" ht="51">
      <c r="A142" s="22" t="s">
        <v>553</v>
      </c>
      <c r="B142" s="26" t="s">
        <v>39</v>
      </c>
      <c r="C142" s="23">
        <v>1330000</v>
      </c>
      <c r="D142" s="23">
        <v>0</v>
      </c>
      <c r="E142" s="23">
        <v>0</v>
      </c>
      <c r="F142" s="23">
        <v>0</v>
      </c>
      <c r="G142" s="23">
        <v>0</v>
      </c>
      <c r="H142" s="23">
        <v>0</v>
      </c>
      <c r="I142" s="23">
        <v>0</v>
      </c>
      <c r="J142" s="23">
        <v>0</v>
      </c>
      <c r="K142" s="23">
        <v>0</v>
      </c>
      <c r="L142" s="23"/>
      <c r="M142" s="24">
        <f t="shared" si="4"/>
        <v>1330000</v>
      </c>
    </row>
    <row r="143" spans="1:13" ht="51">
      <c r="A143" s="22" t="s">
        <v>554</v>
      </c>
      <c r="B143" s="26" t="s">
        <v>139</v>
      </c>
      <c r="C143" s="23">
        <v>2757280</v>
      </c>
      <c r="D143" s="23">
        <v>0</v>
      </c>
      <c r="E143" s="23">
        <v>0</v>
      </c>
      <c r="F143" s="23">
        <v>0</v>
      </c>
      <c r="G143" s="23">
        <v>0</v>
      </c>
      <c r="H143" s="23">
        <v>0</v>
      </c>
      <c r="I143" s="23">
        <v>0</v>
      </c>
      <c r="J143" s="23">
        <v>0</v>
      </c>
      <c r="K143" s="23">
        <v>0</v>
      </c>
      <c r="L143" s="23"/>
      <c r="M143" s="24">
        <f t="shared" si="4"/>
        <v>2757280</v>
      </c>
    </row>
    <row r="144" spans="1:13" ht="51">
      <c r="A144" s="22" t="s">
        <v>554</v>
      </c>
      <c r="B144" s="26" t="s">
        <v>40</v>
      </c>
      <c r="C144" s="23">
        <v>20422720</v>
      </c>
      <c r="D144" s="23">
        <v>0</v>
      </c>
      <c r="E144" s="23">
        <v>0</v>
      </c>
      <c r="F144" s="23">
        <v>0</v>
      </c>
      <c r="G144" s="23">
        <v>0</v>
      </c>
      <c r="H144" s="23">
        <v>0</v>
      </c>
      <c r="I144" s="23">
        <v>0</v>
      </c>
      <c r="J144" s="23">
        <v>0</v>
      </c>
      <c r="K144" s="23">
        <v>0</v>
      </c>
      <c r="L144" s="23"/>
      <c r="M144" s="24">
        <f t="shared" si="4"/>
        <v>20422720</v>
      </c>
    </row>
    <row r="145" spans="1:13" ht="38.25">
      <c r="A145" s="22" t="s">
        <v>550</v>
      </c>
      <c r="B145" s="26" t="s">
        <v>386</v>
      </c>
      <c r="C145" s="23">
        <v>0</v>
      </c>
      <c r="D145" s="23">
        <v>0</v>
      </c>
      <c r="E145" s="23">
        <v>0</v>
      </c>
      <c r="F145" s="23">
        <v>1464140</v>
      </c>
      <c r="G145" s="23">
        <v>1464140</v>
      </c>
      <c r="H145" s="23">
        <v>0</v>
      </c>
      <c r="I145" s="23">
        <v>0</v>
      </c>
      <c r="J145" s="23">
        <v>0</v>
      </c>
      <c r="K145" s="23">
        <v>0</v>
      </c>
      <c r="L145" s="23"/>
      <c r="M145" s="24">
        <f t="shared" si="4"/>
        <v>1464140</v>
      </c>
    </row>
    <row r="146" spans="1:13" ht="51">
      <c r="A146" s="22" t="s">
        <v>550</v>
      </c>
      <c r="B146" s="26" t="s">
        <v>41</v>
      </c>
      <c r="C146" s="23">
        <v>0</v>
      </c>
      <c r="D146" s="23">
        <v>0</v>
      </c>
      <c r="E146" s="23">
        <v>0</v>
      </c>
      <c r="F146" s="23">
        <v>195309</v>
      </c>
      <c r="G146" s="23">
        <v>195309</v>
      </c>
      <c r="H146" s="23">
        <v>0</v>
      </c>
      <c r="I146" s="23">
        <v>0</v>
      </c>
      <c r="J146" s="23">
        <v>0</v>
      </c>
      <c r="K146" s="23">
        <v>0</v>
      </c>
      <c r="L146" s="23"/>
      <c r="M146" s="24">
        <f t="shared" si="4"/>
        <v>195309</v>
      </c>
    </row>
    <row r="147" spans="1:13" ht="51">
      <c r="A147" s="22" t="s">
        <v>550</v>
      </c>
      <c r="B147" s="27" t="s">
        <v>42</v>
      </c>
      <c r="C147" s="23">
        <v>0</v>
      </c>
      <c r="D147" s="23">
        <v>0</v>
      </c>
      <c r="E147" s="23">
        <v>0</v>
      </c>
      <c r="F147" s="23">
        <v>1187394</v>
      </c>
      <c r="G147" s="23">
        <v>701834</v>
      </c>
      <c r="H147" s="23">
        <v>0</v>
      </c>
      <c r="I147" s="23">
        <v>0</v>
      </c>
      <c r="J147" s="23">
        <v>485560</v>
      </c>
      <c r="K147" s="23">
        <v>0</v>
      </c>
      <c r="L147" s="23"/>
      <c r="M147" s="24">
        <f t="shared" si="4"/>
        <v>1187394</v>
      </c>
    </row>
    <row r="148" spans="1:13" ht="51">
      <c r="A148" s="22" t="s">
        <v>550</v>
      </c>
      <c r="B148" s="27" t="s">
        <v>43</v>
      </c>
      <c r="C148" s="23">
        <v>0</v>
      </c>
      <c r="D148" s="23">
        <v>0</v>
      </c>
      <c r="E148" s="23">
        <v>0</v>
      </c>
      <c r="F148" s="23">
        <v>9521766</v>
      </c>
      <c r="G148" s="23">
        <v>2725006</v>
      </c>
      <c r="H148" s="23">
        <v>0</v>
      </c>
      <c r="I148" s="23">
        <v>0</v>
      </c>
      <c r="J148" s="23">
        <v>6796760</v>
      </c>
      <c r="K148" s="23">
        <v>0</v>
      </c>
      <c r="L148" s="23"/>
      <c r="M148" s="24">
        <f t="shared" si="4"/>
        <v>9521766</v>
      </c>
    </row>
    <row r="149" spans="1:13" ht="51">
      <c r="A149" s="22" t="s">
        <v>550</v>
      </c>
      <c r="B149" s="27" t="s">
        <v>74</v>
      </c>
      <c r="C149" s="23">
        <v>0</v>
      </c>
      <c r="D149" s="23">
        <v>0</v>
      </c>
      <c r="E149" s="23">
        <v>0</v>
      </c>
      <c r="F149" s="23">
        <v>532830</v>
      </c>
      <c r="G149" s="23">
        <v>310291</v>
      </c>
      <c r="H149" s="23">
        <v>0</v>
      </c>
      <c r="I149" s="23">
        <v>0</v>
      </c>
      <c r="J149" s="23">
        <v>222539</v>
      </c>
      <c r="K149" s="23">
        <v>0</v>
      </c>
      <c r="L149" s="23"/>
      <c r="M149" s="24">
        <f t="shared" si="4"/>
        <v>532830</v>
      </c>
    </row>
    <row r="150" spans="1:13" ht="51">
      <c r="A150" s="22" t="s">
        <v>550</v>
      </c>
      <c r="B150" s="27" t="s">
        <v>654</v>
      </c>
      <c r="C150" s="23">
        <v>0</v>
      </c>
      <c r="D150" s="23">
        <v>0</v>
      </c>
      <c r="E150" s="23">
        <v>0</v>
      </c>
      <c r="F150" s="23">
        <v>6323994</v>
      </c>
      <c r="G150" s="23">
        <v>745274</v>
      </c>
      <c r="H150" s="23">
        <v>0</v>
      </c>
      <c r="I150" s="23">
        <v>0</v>
      </c>
      <c r="J150" s="23">
        <v>5578720</v>
      </c>
      <c r="K150" s="23"/>
      <c r="L150" s="23"/>
      <c r="M150" s="24">
        <f t="shared" si="4"/>
        <v>6323994</v>
      </c>
    </row>
    <row r="151" spans="1:13" ht="25.5">
      <c r="A151" s="20" t="s">
        <v>655</v>
      </c>
      <c r="B151" s="4" t="s">
        <v>652</v>
      </c>
      <c r="C151" s="21">
        <f>SUM(C152+C154)</f>
        <v>3471243.4</v>
      </c>
      <c r="D151" s="21">
        <v>7980</v>
      </c>
      <c r="E151" s="21">
        <v>0</v>
      </c>
      <c r="F151" s="21">
        <v>448400</v>
      </c>
      <c r="G151" s="21">
        <v>448400</v>
      </c>
      <c r="H151" s="21">
        <v>0</v>
      </c>
      <c r="I151" s="21">
        <v>0</v>
      </c>
      <c r="J151" s="21">
        <v>0</v>
      </c>
      <c r="K151" s="21">
        <v>0</v>
      </c>
      <c r="L151" s="21"/>
      <c r="M151" s="21">
        <f t="shared" si="4"/>
        <v>3919643.4</v>
      </c>
    </row>
    <row r="152" spans="1:13" ht="25.5">
      <c r="A152" s="22" t="s">
        <v>560</v>
      </c>
      <c r="B152" s="1" t="s">
        <v>423</v>
      </c>
      <c r="C152" s="23">
        <f>SUM(C153)</f>
        <v>167820</v>
      </c>
      <c r="D152" s="23">
        <v>0</v>
      </c>
      <c r="E152" s="23">
        <v>0</v>
      </c>
      <c r="F152" s="23">
        <v>0</v>
      </c>
      <c r="G152" s="23">
        <v>0</v>
      </c>
      <c r="H152" s="23">
        <v>0</v>
      </c>
      <c r="I152" s="23">
        <v>0</v>
      </c>
      <c r="J152" s="23">
        <v>0</v>
      </c>
      <c r="K152" s="23">
        <v>0</v>
      </c>
      <c r="L152" s="23"/>
      <c r="M152" s="24">
        <f t="shared" si="4"/>
        <v>167820</v>
      </c>
    </row>
    <row r="153" spans="1:13" ht="25.5">
      <c r="A153" s="22"/>
      <c r="B153" s="26" t="s">
        <v>754</v>
      </c>
      <c r="C153" s="23">
        <f>SUM(Прил3!C246)</f>
        <v>167820</v>
      </c>
      <c r="D153" s="23">
        <v>0</v>
      </c>
      <c r="E153" s="23">
        <v>0</v>
      </c>
      <c r="F153" s="23">
        <v>0</v>
      </c>
      <c r="G153" s="23">
        <v>0</v>
      </c>
      <c r="H153" s="23">
        <v>0</v>
      </c>
      <c r="I153" s="23">
        <v>0</v>
      </c>
      <c r="J153" s="23">
        <v>0</v>
      </c>
      <c r="K153" s="23">
        <v>0</v>
      </c>
      <c r="L153" s="23"/>
      <c r="M153" s="24">
        <f>SUM(C153+F153)</f>
        <v>167820</v>
      </c>
    </row>
    <row r="154" spans="1:13" ht="25.5">
      <c r="A154" s="22" t="s">
        <v>450</v>
      </c>
      <c r="B154" s="1" t="s">
        <v>322</v>
      </c>
      <c r="C154" s="23">
        <f>SUM(C155:C165)</f>
        <v>3303423.4</v>
      </c>
      <c r="D154" s="23">
        <v>7980</v>
      </c>
      <c r="E154" s="23">
        <v>0</v>
      </c>
      <c r="F154" s="23">
        <v>448400</v>
      </c>
      <c r="G154" s="23">
        <v>448400</v>
      </c>
      <c r="H154" s="23">
        <v>0</v>
      </c>
      <c r="I154" s="23">
        <v>0</v>
      </c>
      <c r="J154" s="23">
        <v>0</v>
      </c>
      <c r="K154" s="23">
        <v>0</v>
      </c>
      <c r="L154" s="23"/>
      <c r="M154" s="24">
        <f>C154+F154</f>
        <v>3751823.4</v>
      </c>
    </row>
    <row r="155" spans="1:13" ht="38.25">
      <c r="A155" s="45"/>
      <c r="B155" s="28" t="s">
        <v>385</v>
      </c>
      <c r="C155" s="23">
        <f>SUM(Прил3!C19)</f>
        <v>660</v>
      </c>
      <c r="D155" s="23">
        <v>0</v>
      </c>
      <c r="E155" s="23">
        <v>0</v>
      </c>
      <c r="F155" s="23">
        <v>0</v>
      </c>
      <c r="G155" s="23">
        <v>0</v>
      </c>
      <c r="H155" s="23">
        <v>0</v>
      </c>
      <c r="I155" s="23">
        <v>0</v>
      </c>
      <c r="J155" s="23">
        <v>0</v>
      </c>
      <c r="K155" s="23">
        <v>0</v>
      </c>
      <c r="L155" s="23"/>
      <c r="M155" s="24">
        <f aca="true" t="shared" si="6" ref="M155:M199">C155+F155</f>
        <v>660</v>
      </c>
    </row>
    <row r="156" spans="1:13" ht="51">
      <c r="A156" s="22"/>
      <c r="B156" s="26" t="s">
        <v>133</v>
      </c>
      <c r="C156" s="23">
        <v>1833880</v>
      </c>
      <c r="D156" s="23">
        <v>0</v>
      </c>
      <c r="E156" s="23">
        <v>0</v>
      </c>
      <c r="F156" s="23">
        <v>0</v>
      </c>
      <c r="G156" s="23">
        <v>0</v>
      </c>
      <c r="H156" s="23">
        <v>0</v>
      </c>
      <c r="I156" s="23">
        <v>0</v>
      </c>
      <c r="J156" s="23">
        <v>0</v>
      </c>
      <c r="K156" s="23">
        <v>0</v>
      </c>
      <c r="L156" s="23"/>
      <c r="M156" s="24">
        <f t="shared" si="6"/>
        <v>1833880</v>
      </c>
    </row>
    <row r="157" spans="1:13" ht="38.25">
      <c r="A157" s="22"/>
      <c r="B157" s="26" t="s">
        <v>748</v>
      </c>
      <c r="C157" s="23">
        <f>SUM(Прил3!C54)</f>
        <v>239920</v>
      </c>
      <c r="D157" s="23">
        <v>0</v>
      </c>
      <c r="E157" s="23">
        <v>0</v>
      </c>
      <c r="F157" s="23">
        <v>0</v>
      </c>
      <c r="G157" s="23">
        <v>0</v>
      </c>
      <c r="H157" s="23">
        <v>0</v>
      </c>
      <c r="I157" s="23">
        <v>0</v>
      </c>
      <c r="J157" s="23">
        <v>0</v>
      </c>
      <c r="K157" s="23">
        <v>0</v>
      </c>
      <c r="L157" s="23"/>
      <c r="M157" s="24">
        <f t="shared" si="6"/>
        <v>239920</v>
      </c>
    </row>
    <row r="158" spans="1:13" ht="25.5">
      <c r="A158" s="22"/>
      <c r="B158" s="26" t="s">
        <v>603</v>
      </c>
      <c r="C158" s="23">
        <v>102980</v>
      </c>
      <c r="D158" s="23">
        <v>7980</v>
      </c>
      <c r="E158" s="23">
        <v>0</v>
      </c>
      <c r="F158" s="23">
        <v>0</v>
      </c>
      <c r="G158" s="23">
        <v>0</v>
      </c>
      <c r="H158" s="23">
        <v>0</v>
      </c>
      <c r="I158" s="23">
        <v>0</v>
      </c>
      <c r="J158" s="23">
        <v>0</v>
      </c>
      <c r="K158" s="23">
        <v>0</v>
      </c>
      <c r="L158" s="23"/>
      <c r="M158" s="24">
        <f t="shared" si="6"/>
        <v>102980</v>
      </c>
    </row>
    <row r="159" spans="1:13" ht="38.25">
      <c r="A159" s="22"/>
      <c r="B159" s="26" t="s">
        <v>11</v>
      </c>
      <c r="C159" s="23">
        <v>325178</v>
      </c>
      <c r="D159" s="23">
        <v>0</v>
      </c>
      <c r="E159" s="23">
        <v>0</v>
      </c>
      <c r="F159" s="23">
        <v>0</v>
      </c>
      <c r="G159" s="23">
        <v>0</v>
      </c>
      <c r="H159" s="23">
        <v>0</v>
      </c>
      <c r="I159" s="23">
        <v>0</v>
      </c>
      <c r="J159" s="23">
        <v>0</v>
      </c>
      <c r="K159" s="23">
        <v>0</v>
      </c>
      <c r="L159" s="23"/>
      <c r="M159" s="24">
        <f t="shared" si="6"/>
        <v>325178</v>
      </c>
    </row>
    <row r="160" spans="1:13" ht="25.5">
      <c r="A160" s="22"/>
      <c r="B160" s="26" t="s">
        <v>374</v>
      </c>
      <c r="C160" s="23">
        <v>156327</v>
      </c>
      <c r="D160" s="23">
        <v>0</v>
      </c>
      <c r="E160" s="23">
        <v>0</v>
      </c>
      <c r="F160" s="23">
        <v>0</v>
      </c>
      <c r="G160" s="23">
        <v>0</v>
      </c>
      <c r="H160" s="23">
        <v>0</v>
      </c>
      <c r="I160" s="23">
        <v>0</v>
      </c>
      <c r="J160" s="23">
        <v>0</v>
      </c>
      <c r="K160" s="23">
        <v>0</v>
      </c>
      <c r="L160" s="23"/>
      <c r="M160" s="24">
        <f t="shared" si="6"/>
        <v>156327</v>
      </c>
    </row>
    <row r="161" spans="1:13" ht="76.5">
      <c r="A161" s="22"/>
      <c r="B161" s="27" t="s">
        <v>692</v>
      </c>
      <c r="C161" s="23">
        <f>SUM(Прил3!C308)</f>
        <v>471000</v>
      </c>
      <c r="D161" s="23">
        <v>0</v>
      </c>
      <c r="E161" s="23">
        <v>0</v>
      </c>
      <c r="F161" s="23">
        <v>0</v>
      </c>
      <c r="G161" s="23">
        <v>0</v>
      </c>
      <c r="H161" s="23">
        <v>0</v>
      </c>
      <c r="I161" s="23">
        <v>0</v>
      </c>
      <c r="J161" s="23">
        <v>0</v>
      </c>
      <c r="K161" s="23">
        <v>0</v>
      </c>
      <c r="L161" s="23"/>
      <c r="M161" s="24">
        <f t="shared" si="6"/>
        <v>471000</v>
      </c>
    </row>
    <row r="162" spans="1:13" ht="25.5">
      <c r="A162" s="22"/>
      <c r="B162" s="27" t="s">
        <v>124</v>
      </c>
      <c r="C162" s="23">
        <v>0</v>
      </c>
      <c r="D162" s="23">
        <v>0</v>
      </c>
      <c r="E162" s="23">
        <v>0</v>
      </c>
      <c r="F162" s="23">
        <v>448400</v>
      </c>
      <c r="G162" s="23">
        <v>448400</v>
      </c>
      <c r="H162" s="23">
        <v>0</v>
      </c>
      <c r="I162" s="23">
        <v>0</v>
      </c>
      <c r="J162" s="23">
        <v>0</v>
      </c>
      <c r="K162" s="23">
        <v>0</v>
      </c>
      <c r="L162" s="23"/>
      <c r="M162" s="24">
        <f t="shared" si="6"/>
        <v>448400</v>
      </c>
    </row>
    <row r="163" spans="1:13" ht="38.25">
      <c r="A163" s="22"/>
      <c r="B163" s="29" t="s">
        <v>628</v>
      </c>
      <c r="C163" s="23">
        <f>SUM(Прил3!C18)</f>
        <v>5560</v>
      </c>
      <c r="D163" s="23">
        <v>0</v>
      </c>
      <c r="E163" s="23">
        <v>0</v>
      </c>
      <c r="F163" s="23">
        <v>0</v>
      </c>
      <c r="G163" s="23">
        <v>0</v>
      </c>
      <c r="H163" s="23">
        <v>0</v>
      </c>
      <c r="I163" s="23">
        <v>0</v>
      </c>
      <c r="J163" s="23">
        <v>0</v>
      </c>
      <c r="K163" s="23">
        <v>0</v>
      </c>
      <c r="L163" s="23"/>
      <c r="M163" s="24">
        <f t="shared" si="6"/>
        <v>5560</v>
      </c>
    </row>
    <row r="164" spans="1:13" ht="63.75">
      <c r="A164" s="22"/>
      <c r="B164" s="2" t="s">
        <v>650</v>
      </c>
      <c r="C164" s="23">
        <f>SUM(Прил3!C97)</f>
        <v>61400</v>
      </c>
      <c r="D164" s="23"/>
      <c r="E164" s="23"/>
      <c r="F164" s="23"/>
      <c r="G164" s="23"/>
      <c r="H164" s="23"/>
      <c r="I164" s="23"/>
      <c r="J164" s="23"/>
      <c r="K164" s="23"/>
      <c r="L164" s="23"/>
      <c r="M164" s="24">
        <f>SUM(C164)</f>
        <v>61400</v>
      </c>
    </row>
    <row r="165" spans="1:13" ht="63.75">
      <c r="A165" s="22"/>
      <c r="B165" s="2" t="s">
        <v>76</v>
      </c>
      <c r="C165" s="23">
        <f>SUM(Прил3!C40+Прил3!C55+Прил3!C68+Прил3!C98+Прил3!C206+Прил3!C235+Прил3!C242+Прил3!C248+Прил3!C267+Прил3!C277+Прил3!C284+Прил3!C294+Прил3!C20)</f>
        <v>106518.39999999998</v>
      </c>
      <c r="D165" s="23"/>
      <c r="E165" s="23"/>
      <c r="F165" s="23"/>
      <c r="G165" s="23"/>
      <c r="H165" s="23"/>
      <c r="I165" s="23"/>
      <c r="J165" s="23"/>
      <c r="K165" s="23"/>
      <c r="L165" s="23"/>
      <c r="M165" s="24">
        <f>SUM(C165)</f>
        <v>106518.39999999998</v>
      </c>
    </row>
    <row r="166" spans="1:13" ht="25.5">
      <c r="A166" s="20" t="s">
        <v>693</v>
      </c>
      <c r="B166" s="30" t="s">
        <v>694</v>
      </c>
      <c r="C166" s="21">
        <v>0</v>
      </c>
      <c r="D166" s="21">
        <v>0</v>
      </c>
      <c r="E166" s="21">
        <v>0</v>
      </c>
      <c r="F166" s="21">
        <v>2459</v>
      </c>
      <c r="G166" s="21">
        <v>0</v>
      </c>
      <c r="H166" s="21">
        <v>0</v>
      </c>
      <c r="I166" s="21">
        <v>0</v>
      </c>
      <c r="J166" s="21">
        <v>2459</v>
      </c>
      <c r="K166" s="21">
        <v>0</v>
      </c>
      <c r="L166" s="21"/>
      <c r="M166" s="21">
        <f t="shared" si="6"/>
        <v>2459</v>
      </c>
    </row>
    <row r="167" spans="1:13" ht="15" customHeight="1">
      <c r="A167" s="22" t="s">
        <v>565</v>
      </c>
      <c r="B167" s="25" t="s">
        <v>756</v>
      </c>
      <c r="C167" s="23">
        <v>0</v>
      </c>
      <c r="D167" s="23">
        <v>0</v>
      </c>
      <c r="E167" s="23">
        <v>0</v>
      </c>
      <c r="F167" s="23">
        <v>2459</v>
      </c>
      <c r="G167" s="23">
        <v>0</v>
      </c>
      <c r="H167" s="23">
        <v>0</v>
      </c>
      <c r="I167" s="23">
        <v>0</v>
      </c>
      <c r="J167" s="23">
        <v>2459</v>
      </c>
      <c r="K167" s="23">
        <v>0</v>
      </c>
      <c r="L167" s="23"/>
      <c r="M167" s="24">
        <f t="shared" si="6"/>
        <v>2459</v>
      </c>
    </row>
    <row r="168" spans="1:13" ht="31.5" customHeight="1">
      <c r="A168" s="20" t="s">
        <v>695</v>
      </c>
      <c r="B168" s="30" t="s">
        <v>696</v>
      </c>
      <c r="C168" s="21">
        <f>SUM(C169+C170+C173)</f>
        <v>302340</v>
      </c>
      <c r="D168" s="21">
        <v>0</v>
      </c>
      <c r="E168" s="21">
        <v>0</v>
      </c>
      <c r="F168" s="21">
        <v>0</v>
      </c>
      <c r="G168" s="21">
        <v>0</v>
      </c>
      <c r="H168" s="21">
        <v>0</v>
      </c>
      <c r="I168" s="21">
        <v>0</v>
      </c>
      <c r="J168" s="21">
        <v>0</v>
      </c>
      <c r="K168" s="21">
        <v>0</v>
      </c>
      <c r="L168" s="21"/>
      <c r="M168" s="21">
        <f t="shared" si="6"/>
        <v>302340</v>
      </c>
    </row>
    <row r="169" spans="1:13" ht="38.25">
      <c r="A169" s="22" t="s">
        <v>561</v>
      </c>
      <c r="B169" s="26" t="s">
        <v>365</v>
      </c>
      <c r="C169" s="23">
        <v>38049</v>
      </c>
      <c r="D169" s="23">
        <v>0</v>
      </c>
      <c r="E169" s="23">
        <v>0</v>
      </c>
      <c r="F169" s="23">
        <v>0</v>
      </c>
      <c r="G169" s="23">
        <v>0</v>
      </c>
      <c r="H169" s="23">
        <v>0</v>
      </c>
      <c r="I169" s="23">
        <v>0</v>
      </c>
      <c r="J169" s="23">
        <v>0</v>
      </c>
      <c r="K169" s="23">
        <v>0</v>
      </c>
      <c r="L169" s="23"/>
      <c r="M169" s="24">
        <f t="shared" si="6"/>
        <v>38049</v>
      </c>
    </row>
    <row r="170" spans="1:13" ht="38.25">
      <c r="A170" s="22" t="s">
        <v>27</v>
      </c>
      <c r="B170" s="31" t="s">
        <v>634</v>
      </c>
      <c r="C170" s="23">
        <f>SUM(C171:C172)</f>
        <v>245231</v>
      </c>
      <c r="D170" s="23">
        <v>0</v>
      </c>
      <c r="E170" s="23">
        <v>0</v>
      </c>
      <c r="F170" s="23">
        <v>0</v>
      </c>
      <c r="G170" s="23">
        <v>0</v>
      </c>
      <c r="H170" s="23">
        <v>0</v>
      </c>
      <c r="I170" s="23">
        <v>0</v>
      </c>
      <c r="J170" s="23">
        <v>0</v>
      </c>
      <c r="K170" s="23">
        <v>0</v>
      </c>
      <c r="L170" s="23"/>
      <c r="M170" s="24">
        <f t="shared" si="6"/>
        <v>245231</v>
      </c>
    </row>
    <row r="171" spans="1:13" ht="38.25">
      <c r="A171" s="22"/>
      <c r="B171" s="27" t="s">
        <v>634</v>
      </c>
      <c r="C171" s="23">
        <v>245100</v>
      </c>
      <c r="D171" s="23">
        <v>0</v>
      </c>
      <c r="E171" s="23">
        <v>0</v>
      </c>
      <c r="F171" s="23">
        <v>0</v>
      </c>
      <c r="G171" s="23">
        <v>0</v>
      </c>
      <c r="H171" s="23">
        <v>0</v>
      </c>
      <c r="I171" s="23">
        <v>0</v>
      </c>
      <c r="J171" s="23">
        <v>0</v>
      </c>
      <c r="K171" s="23">
        <v>0</v>
      </c>
      <c r="L171" s="23"/>
      <c r="M171" s="24">
        <f t="shared" si="6"/>
        <v>245100</v>
      </c>
    </row>
    <row r="172" spans="1:13" ht="38.25">
      <c r="A172" s="22"/>
      <c r="B172" s="27" t="s">
        <v>602</v>
      </c>
      <c r="C172" s="23">
        <f>SUM(Прил3!C301)</f>
        <v>131</v>
      </c>
      <c r="D172" s="23">
        <v>0</v>
      </c>
      <c r="E172" s="23">
        <v>0</v>
      </c>
      <c r="F172" s="23">
        <v>0</v>
      </c>
      <c r="G172" s="23">
        <v>0</v>
      </c>
      <c r="H172" s="23">
        <v>0</v>
      </c>
      <c r="I172" s="23">
        <v>0</v>
      </c>
      <c r="J172" s="23">
        <v>0</v>
      </c>
      <c r="K172" s="23">
        <v>0</v>
      </c>
      <c r="L172" s="23"/>
      <c r="M172" s="24">
        <f t="shared" si="6"/>
        <v>131</v>
      </c>
    </row>
    <row r="173" spans="1:13" ht="25.5">
      <c r="A173" s="22" t="s">
        <v>462</v>
      </c>
      <c r="B173" s="31" t="s">
        <v>697</v>
      </c>
      <c r="C173" s="23">
        <f>SUM(Прил3!C302+Прил3!C99+Прил3!C41)</f>
        <v>19060</v>
      </c>
      <c r="D173" s="23">
        <v>0</v>
      </c>
      <c r="E173" s="23">
        <v>0</v>
      </c>
      <c r="F173" s="23">
        <v>0</v>
      </c>
      <c r="G173" s="23">
        <v>0</v>
      </c>
      <c r="H173" s="23">
        <v>0</v>
      </c>
      <c r="I173" s="23">
        <v>0</v>
      </c>
      <c r="J173" s="23">
        <v>0</v>
      </c>
      <c r="K173" s="23">
        <v>0</v>
      </c>
      <c r="L173" s="23"/>
      <c r="M173" s="24">
        <f t="shared" si="6"/>
        <v>19060</v>
      </c>
    </row>
    <row r="174" spans="1:13" ht="12.75">
      <c r="A174" s="20" t="s">
        <v>698</v>
      </c>
      <c r="B174" s="4" t="s">
        <v>540</v>
      </c>
      <c r="C174" s="21">
        <v>0</v>
      </c>
      <c r="D174" s="21">
        <v>0</v>
      </c>
      <c r="E174" s="21">
        <v>0</v>
      </c>
      <c r="F174" s="21">
        <f>SUM(F175:F176)</f>
        <v>50536210</v>
      </c>
      <c r="G174" s="21">
        <f>SUM(G175:G176)</f>
        <v>39950309</v>
      </c>
      <c r="H174" s="21">
        <v>0</v>
      </c>
      <c r="I174" s="21">
        <v>0</v>
      </c>
      <c r="J174" s="21">
        <f>SUM(J175:J176)</f>
        <v>10585901</v>
      </c>
      <c r="K174" s="21">
        <v>0</v>
      </c>
      <c r="L174" s="21"/>
      <c r="M174" s="21">
        <f t="shared" si="6"/>
        <v>50536210</v>
      </c>
    </row>
    <row r="175" spans="1:13" ht="25.5">
      <c r="A175" s="22" t="s">
        <v>463</v>
      </c>
      <c r="B175" s="1" t="s">
        <v>445</v>
      </c>
      <c r="C175" s="23">
        <v>0</v>
      </c>
      <c r="D175" s="23">
        <v>0</v>
      </c>
      <c r="E175" s="23">
        <v>0</v>
      </c>
      <c r="F175" s="23">
        <v>560338</v>
      </c>
      <c r="G175" s="23">
        <v>110196</v>
      </c>
      <c r="H175" s="23">
        <v>0</v>
      </c>
      <c r="I175" s="23">
        <v>0</v>
      </c>
      <c r="J175" s="23">
        <v>450142</v>
      </c>
      <c r="K175" s="23">
        <v>0</v>
      </c>
      <c r="L175" s="23"/>
      <c r="M175" s="24">
        <f t="shared" si="6"/>
        <v>560338</v>
      </c>
    </row>
    <row r="176" spans="1:13" ht="51">
      <c r="A176" s="22" t="s">
        <v>451</v>
      </c>
      <c r="B176" s="1" t="s">
        <v>762</v>
      </c>
      <c r="C176" s="23">
        <v>0</v>
      </c>
      <c r="D176" s="23">
        <v>0</v>
      </c>
      <c r="E176" s="23">
        <v>0</v>
      </c>
      <c r="F176" s="23">
        <f>SUM(F177)</f>
        <v>49975872</v>
      </c>
      <c r="G176" s="23">
        <f>SUM(G177)</f>
        <v>39840113</v>
      </c>
      <c r="H176" s="23">
        <v>0</v>
      </c>
      <c r="I176" s="23">
        <v>0</v>
      </c>
      <c r="J176" s="23">
        <f>8635759+1500000</f>
        <v>10135759</v>
      </c>
      <c r="K176" s="23">
        <v>0</v>
      </c>
      <c r="L176" s="23"/>
      <c r="M176" s="24">
        <f t="shared" si="6"/>
        <v>49975872</v>
      </c>
    </row>
    <row r="177" spans="1:13" ht="18.75" customHeight="1">
      <c r="A177" s="22"/>
      <c r="B177" s="26" t="s">
        <v>739</v>
      </c>
      <c r="C177" s="23">
        <v>0</v>
      </c>
      <c r="D177" s="23">
        <v>0</v>
      </c>
      <c r="E177" s="23">
        <v>0</v>
      </c>
      <c r="F177" s="23">
        <f>SUM(G177+J177)</f>
        <v>49975872</v>
      </c>
      <c r="G177" s="23">
        <f>SUM(Прил3!G22+Прил3!G44+Прил3!G57+Прил3!G70+Прил3!G101+Прил3!G208+Прил3!G221+Прил3!G237+Прил3!G251+Прил3!G269+Прил3!G287+Прил3!G297+Прил3!G304)</f>
        <v>39840113</v>
      </c>
      <c r="H177" s="23">
        <v>0</v>
      </c>
      <c r="I177" s="23">
        <v>0</v>
      </c>
      <c r="J177" s="23">
        <f>Прил3!J44+Прил3!J70+Прил3!J208+Прил3!J269+Прил3!J287+Прил3!J297</f>
        <v>10135759</v>
      </c>
      <c r="K177" s="23">
        <v>0</v>
      </c>
      <c r="L177" s="23"/>
      <c r="M177" s="24">
        <f t="shared" si="6"/>
        <v>49975872</v>
      </c>
    </row>
    <row r="178" spans="1:13" ht="12.75">
      <c r="A178" s="20" t="s">
        <v>699</v>
      </c>
      <c r="B178" s="4" t="s">
        <v>712</v>
      </c>
      <c r="C178" s="21">
        <f>SUM(C179:C184)</f>
        <v>29478052.35</v>
      </c>
      <c r="D178" s="21">
        <v>0</v>
      </c>
      <c r="E178" s="21">
        <f>SUM(E182)</f>
        <v>535000</v>
      </c>
      <c r="F178" s="21">
        <f>SUM(F184+F185+F186)</f>
        <v>59522000</v>
      </c>
      <c r="G178" s="21">
        <v>0</v>
      </c>
      <c r="H178" s="21">
        <v>0</v>
      </c>
      <c r="I178" s="21">
        <v>0</v>
      </c>
      <c r="J178" s="21">
        <f>SUM(J184+J185+J186)</f>
        <v>59522000</v>
      </c>
      <c r="K178" s="21">
        <f>SUM(K184+K185+K186)</f>
        <v>59522000</v>
      </c>
      <c r="L178" s="21">
        <f>SUM(L185+L186)</f>
        <v>59180000</v>
      </c>
      <c r="M178" s="21">
        <f t="shared" si="6"/>
        <v>89000052.35</v>
      </c>
    </row>
    <row r="179" spans="1:13" ht="12.75">
      <c r="A179" s="22" t="s">
        <v>28</v>
      </c>
      <c r="B179" s="7" t="s">
        <v>713</v>
      </c>
      <c r="C179" s="23">
        <f>SUM(Прил3!C314)</f>
        <v>1172432.3499999996</v>
      </c>
      <c r="D179" s="23">
        <f>SUM(Прил3!D314)</f>
        <v>0</v>
      </c>
      <c r="E179" s="23">
        <f>SUM(Прил3!E314)</f>
        <v>0</v>
      </c>
      <c r="F179" s="23">
        <f>SUM(Прил3!F314)</f>
        <v>0</v>
      </c>
      <c r="G179" s="23">
        <f>SUM(Прил3!G314)</f>
        <v>0</v>
      </c>
      <c r="H179" s="23">
        <f>SUM(Прил3!H314)</f>
        <v>0</v>
      </c>
      <c r="I179" s="23">
        <f>SUM(Прил3!I314)</f>
        <v>0</v>
      </c>
      <c r="J179" s="23">
        <f>SUM(Прил3!J314)</f>
        <v>0</v>
      </c>
      <c r="K179" s="23">
        <f>SUM(Прил3!K314)</f>
        <v>0</v>
      </c>
      <c r="L179" s="23"/>
      <c r="M179" s="24">
        <f t="shared" si="6"/>
        <v>1172432.3499999996</v>
      </c>
    </row>
    <row r="180" spans="1:13" ht="50.25" customHeight="1">
      <c r="A180" s="44">
        <v>250203</v>
      </c>
      <c r="B180" s="2" t="s">
        <v>734</v>
      </c>
      <c r="C180" s="23">
        <f>SUM(Прил3!C23)</f>
        <v>2364700</v>
      </c>
      <c r="D180" s="23">
        <f>SUM(Прил3!D23)</f>
        <v>0</v>
      </c>
      <c r="E180" s="23">
        <f>SUM(Прил3!E23)</f>
        <v>0</v>
      </c>
      <c r="F180" s="23">
        <f>SUM(Прил3!F23)</f>
        <v>0</v>
      </c>
      <c r="G180" s="23">
        <f>SUM(Прил3!G23)</f>
        <v>0</v>
      </c>
      <c r="H180" s="23">
        <f>SUM(Прил3!H23)</f>
        <v>0</v>
      </c>
      <c r="I180" s="23">
        <f>SUM(Прил3!I23)</f>
        <v>0</v>
      </c>
      <c r="J180" s="23">
        <f>SUM(Прил3!J23)</f>
        <v>0</v>
      </c>
      <c r="K180" s="23">
        <f>SUM(Прил3!K23)</f>
        <v>0</v>
      </c>
      <c r="L180" s="23"/>
      <c r="M180" s="24">
        <f>SUM(C180)</f>
        <v>2364700</v>
      </c>
    </row>
    <row r="181" spans="1:13" ht="12.75">
      <c r="A181" s="22" t="s">
        <v>452</v>
      </c>
      <c r="B181" s="1" t="s">
        <v>640</v>
      </c>
      <c r="C181" s="23">
        <f>SUM(Прил3!C24+Прил3!C209+Прил3!C312)</f>
        <v>143020</v>
      </c>
      <c r="D181" s="23">
        <v>0</v>
      </c>
      <c r="E181" s="23">
        <v>0</v>
      </c>
      <c r="F181" s="23">
        <v>0</v>
      </c>
      <c r="G181" s="23">
        <v>0</v>
      </c>
      <c r="H181" s="23">
        <v>0</v>
      </c>
      <c r="I181" s="23">
        <v>0</v>
      </c>
      <c r="J181" s="23">
        <v>0</v>
      </c>
      <c r="K181" s="23">
        <v>0</v>
      </c>
      <c r="L181" s="23"/>
      <c r="M181" s="24">
        <f t="shared" si="6"/>
        <v>143020</v>
      </c>
    </row>
    <row r="182" spans="1:13" ht="25.5">
      <c r="A182" s="22" t="s">
        <v>452</v>
      </c>
      <c r="B182" s="1" t="s">
        <v>484</v>
      </c>
      <c r="C182" s="23">
        <f>SUM(Прил3!C45+Прил3!C58+Прил3!C72+Прил3!C102+Прил3!C238+Прил3!C252)</f>
        <v>535000</v>
      </c>
      <c r="D182" s="23">
        <f>SUM(Прил3!D45+Прил3!D58+Прил3!D72+Прил3!D102+Прил3!D238+Прил3!D252)</f>
        <v>0</v>
      </c>
      <c r="E182" s="23">
        <f>SUM(Прил3!E45+Прил3!E58+Прил3!E72+Прил3!E102+Прил3!E238+Прил3!E252)</f>
        <v>535000</v>
      </c>
      <c r="F182" s="23">
        <f>SUM(Прил3!F45+Прил3!F58+Прил3!F72+Прил3!F102+Прил3!F238+Прил3!F252)</f>
        <v>0</v>
      </c>
      <c r="G182" s="23">
        <f>SUM(Прил3!G45+Прил3!G58+Прил3!G72+Прил3!G102+Прил3!G238+Прил3!G252)</f>
        <v>0</v>
      </c>
      <c r="H182" s="23">
        <f>SUM(Прил3!H45+Прил3!H58+Прил3!H72+Прил3!H102+Прил3!H238+Прил3!H252)</f>
        <v>0</v>
      </c>
      <c r="I182" s="23">
        <f>SUM(Прил3!I45+Прил3!I58+Прил3!I72+Прил3!I102+Прил3!I238+Прил3!I252)</f>
        <v>0</v>
      </c>
      <c r="J182" s="23">
        <f>SUM(Прил3!J45+Прил3!J58+Прил3!J72+Прил3!J102+Прил3!J238+Прил3!J252)</f>
        <v>0</v>
      </c>
      <c r="K182" s="23">
        <f>SUM(Прил3!K45+Прил3!K58+Прил3!K72+Прил3!K102+Прил3!K238+Прил3!K252)</f>
        <v>0</v>
      </c>
      <c r="L182" s="23"/>
      <c r="M182" s="24">
        <f>SUM(C182)</f>
        <v>535000</v>
      </c>
    </row>
    <row r="183" spans="1:13" ht="102">
      <c r="A183" s="102">
        <v>250323</v>
      </c>
      <c r="B183" s="2" t="s">
        <v>753</v>
      </c>
      <c r="C183" s="23">
        <f>SUM(Прил3!C270)</f>
        <v>25262900</v>
      </c>
      <c r="D183" s="23">
        <f>SUM(Прил3!D270)</f>
        <v>0</v>
      </c>
      <c r="E183" s="23">
        <f>SUM(Прил3!E270)</f>
        <v>0</v>
      </c>
      <c r="F183" s="23">
        <f>SUM(Прил3!F270)</f>
        <v>0</v>
      </c>
      <c r="G183" s="23">
        <f>SUM(Прил3!G270)</f>
        <v>0</v>
      </c>
      <c r="H183" s="23">
        <f>SUM(Прил3!H270)</f>
        <v>0</v>
      </c>
      <c r="I183" s="23">
        <f>SUM(Прил3!I270)</f>
        <v>0</v>
      </c>
      <c r="J183" s="23">
        <f>SUM(Прил3!J270)</f>
        <v>0</v>
      </c>
      <c r="K183" s="23">
        <f>SUM(Прил3!K270)</f>
        <v>0</v>
      </c>
      <c r="L183" s="23"/>
      <c r="M183" s="24">
        <f>SUM(C183)</f>
        <v>25262900</v>
      </c>
    </row>
    <row r="184" spans="1:13" ht="63.75">
      <c r="A184" s="22" t="s">
        <v>566</v>
      </c>
      <c r="B184" s="2" t="s">
        <v>12</v>
      </c>
      <c r="C184" s="23">
        <v>0</v>
      </c>
      <c r="D184" s="23">
        <v>0</v>
      </c>
      <c r="E184" s="23">
        <v>0</v>
      </c>
      <c r="F184" s="23">
        <v>342000</v>
      </c>
      <c r="G184" s="23">
        <v>0</v>
      </c>
      <c r="H184" s="23">
        <v>0</v>
      </c>
      <c r="I184" s="23">
        <v>0</v>
      </c>
      <c r="J184" s="23">
        <v>342000</v>
      </c>
      <c r="K184" s="23">
        <v>342000</v>
      </c>
      <c r="L184" s="23"/>
      <c r="M184" s="24">
        <f t="shared" si="6"/>
        <v>342000</v>
      </c>
    </row>
    <row r="185" spans="1:13" ht="140.25">
      <c r="A185" s="44">
        <v>250359</v>
      </c>
      <c r="B185" s="430" t="s">
        <v>80</v>
      </c>
      <c r="C185" s="23"/>
      <c r="D185" s="23"/>
      <c r="E185" s="23"/>
      <c r="F185" s="23">
        <f>SUM(Прил3!F71)</f>
        <v>8000000</v>
      </c>
      <c r="G185" s="23">
        <f>SUM(Прил3!G71)</f>
        <v>0</v>
      </c>
      <c r="H185" s="23">
        <f>SUM(Прил3!H71)</f>
        <v>0</v>
      </c>
      <c r="I185" s="23">
        <f>SUM(Прил3!I71)</f>
        <v>0</v>
      </c>
      <c r="J185" s="23">
        <f>SUM(Прил3!J71)</f>
        <v>8000000</v>
      </c>
      <c r="K185" s="23">
        <f>SUM(Прил3!K71)</f>
        <v>8000000</v>
      </c>
      <c r="L185" s="23">
        <f>SUM(Прил3!L71)</f>
        <v>8000000</v>
      </c>
      <c r="M185" s="24">
        <f>SUM(F185)</f>
        <v>8000000</v>
      </c>
    </row>
    <row r="186" spans="1:13" ht="102">
      <c r="A186" s="44">
        <v>250372</v>
      </c>
      <c r="B186" s="432" t="s">
        <v>78</v>
      </c>
      <c r="C186" s="23"/>
      <c r="D186" s="23"/>
      <c r="E186" s="23"/>
      <c r="F186" s="23">
        <f>SUM(Прил3!F278)</f>
        <v>51180000</v>
      </c>
      <c r="G186" s="23">
        <f>SUM(Прил3!G278)</f>
        <v>0</v>
      </c>
      <c r="H186" s="23">
        <f>SUM(Прил3!H278)</f>
        <v>0</v>
      </c>
      <c r="I186" s="23">
        <f>SUM(Прил3!I278)</f>
        <v>0</v>
      </c>
      <c r="J186" s="23">
        <f>SUM(Прил3!J278)</f>
        <v>51180000</v>
      </c>
      <c r="K186" s="23">
        <f>SUM(Прил3!K278)</f>
        <v>51180000</v>
      </c>
      <c r="L186" s="23">
        <f>SUM(Прил3!L278)</f>
        <v>51180000</v>
      </c>
      <c r="M186" s="24">
        <f>SUM(F186)</f>
        <v>51180000</v>
      </c>
    </row>
    <row r="187" spans="1:13" ht="12.75">
      <c r="A187" s="32"/>
      <c r="B187" s="4" t="s">
        <v>715</v>
      </c>
      <c r="C187" s="21">
        <f>SUM(C15+C17+C29+C48+C118+C120+C127+C131+C137+C139+C151+C166+C168+C174+C178)</f>
        <v>2217136033.4</v>
      </c>
      <c r="D187" s="21">
        <f aca="true" t="shared" si="7" ref="D187:K187">SUM(D15+D17+D29+D48+D118+D120+D127+D131+D137+D139+D151+D166+D168+D174+D178)</f>
        <v>974115918.52</v>
      </c>
      <c r="E187" s="21">
        <f t="shared" si="7"/>
        <v>78213275</v>
      </c>
      <c r="F187" s="21">
        <f t="shared" si="7"/>
        <v>377758280</v>
      </c>
      <c r="G187" s="21">
        <f t="shared" si="7"/>
        <v>89849604</v>
      </c>
      <c r="H187" s="21">
        <f t="shared" si="7"/>
        <v>9288229</v>
      </c>
      <c r="I187" s="21">
        <f t="shared" si="7"/>
        <v>1653483</v>
      </c>
      <c r="J187" s="21">
        <f t="shared" si="7"/>
        <v>287908676</v>
      </c>
      <c r="K187" s="21">
        <f t="shared" si="7"/>
        <v>260121626</v>
      </c>
      <c r="L187" s="21">
        <f>L15+L178</f>
        <v>59472100</v>
      </c>
      <c r="M187" s="21">
        <f t="shared" si="6"/>
        <v>2594894313.4</v>
      </c>
    </row>
    <row r="188" spans="1:13" s="35" customFormat="1" ht="12.75">
      <c r="A188" s="33"/>
      <c r="B188" s="8" t="s">
        <v>758</v>
      </c>
      <c r="C188" s="34">
        <f>SUM(C189+C190+C191+C192+C193+C194+C197+C198)</f>
        <v>37752656.6</v>
      </c>
      <c r="D188" s="34">
        <v>0</v>
      </c>
      <c r="E188" s="34">
        <v>0</v>
      </c>
      <c r="F188" s="34">
        <f>G188+J188</f>
        <v>1137720</v>
      </c>
      <c r="G188" s="34">
        <f>SUM(G194)</f>
        <v>95832</v>
      </c>
      <c r="H188" s="34">
        <v>0</v>
      </c>
      <c r="I188" s="34">
        <v>0</v>
      </c>
      <c r="J188" s="34">
        <f>SUM(J194)</f>
        <v>1041888</v>
      </c>
      <c r="K188" s="34">
        <f>SUM(K194)</f>
        <v>0</v>
      </c>
      <c r="L188" s="34">
        <f>SUM(L194)</f>
        <v>0</v>
      </c>
      <c r="M188" s="34">
        <f t="shared" si="6"/>
        <v>38890376.6</v>
      </c>
    </row>
    <row r="189" spans="1:13" ht="51">
      <c r="A189" s="22" t="s">
        <v>29</v>
      </c>
      <c r="B189" s="26" t="s">
        <v>636</v>
      </c>
      <c r="C189" s="23">
        <v>1019795</v>
      </c>
      <c r="D189" s="23">
        <v>0</v>
      </c>
      <c r="E189" s="23">
        <v>0</v>
      </c>
      <c r="F189" s="23">
        <v>0</v>
      </c>
      <c r="G189" s="23">
        <v>0</v>
      </c>
      <c r="H189" s="23">
        <v>0</v>
      </c>
      <c r="I189" s="23">
        <v>0</v>
      </c>
      <c r="J189" s="23">
        <v>0</v>
      </c>
      <c r="K189" s="23">
        <v>0</v>
      </c>
      <c r="L189" s="23"/>
      <c r="M189" s="24">
        <f t="shared" si="6"/>
        <v>1019795</v>
      </c>
    </row>
    <row r="190" spans="1:13" ht="51">
      <c r="A190" s="44">
        <v>250313</v>
      </c>
      <c r="B190" s="26" t="s">
        <v>724</v>
      </c>
      <c r="C190" s="23">
        <f>SUM(Прил3!C316)</f>
        <v>100000</v>
      </c>
      <c r="D190" s="23"/>
      <c r="E190" s="23"/>
      <c r="F190" s="23"/>
      <c r="G190" s="23"/>
      <c r="H190" s="23"/>
      <c r="I190" s="23"/>
      <c r="J190" s="23"/>
      <c r="K190" s="23"/>
      <c r="L190" s="23"/>
      <c r="M190" s="24">
        <f t="shared" si="6"/>
        <v>100000</v>
      </c>
    </row>
    <row r="191" spans="1:13" ht="12.75">
      <c r="A191" s="22" t="s">
        <v>30</v>
      </c>
      <c r="B191" s="27" t="s">
        <v>372</v>
      </c>
      <c r="C191" s="23">
        <f>SUM(Прил3!C317)</f>
        <v>16991404</v>
      </c>
      <c r="D191" s="23">
        <f>SUM(Прил3!D317)</f>
        <v>0</v>
      </c>
      <c r="E191" s="23">
        <f>SUM(Прил3!E317)</f>
        <v>0</v>
      </c>
      <c r="F191" s="23">
        <f>SUM(Прил3!F317)</f>
        <v>0</v>
      </c>
      <c r="G191" s="23">
        <f>SUM(Прил3!G317)</f>
        <v>0</v>
      </c>
      <c r="H191" s="23">
        <f>SUM(Прил3!H317)</f>
        <v>0</v>
      </c>
      <c r="I191" s="23">
        <f>SUM(Прил3!I317)</f>
        <v>0</v>
      </c>
      <c r="J191" s="23">
        <f>SUM(Прил3!J317)</f>
        <v>0</v>
      </c>
      <c r="K191" s="23">
        <f>SUM(Прил3!K317)</f>
        <v>0</v>
      </c>
      <c r="L191" s="23"/>
      <c r="M191" s="24">
        <f t="shared" si="6"/>
        <v>16991404</v>
      </c>
    </row>
    <row r="192" spans="1:13" ht="89.25">
      <c r="A192" s="22" t="s">
        <v>31</v>
      </c>
      <c r="B192" s="26" t="s">
        <v>669</v>
      </c>
      <c r="C192" s="23">
        <f>SUM(Прил3!C318)</f>
        <v>17442470</v>
      </c>
      <c r="D192" s="23">
        <f>SUM(Прил3!D318)</f>
        <v>0</v>
      </c>
      <c r="E192" s="23">
        <f>SUM(Прил3!E318)</f>
        <v>0</v>
      </c>
      <c r="F192" s="23">
        <f>SUM(Прил3!F318)</f>
        <v>0</v>
      </c>
      <c r="G192" s="23">
        <f>SUM(Прил3!G318)</f>
        <v>0</v>
      </c>
      <c r="H192" s="23">
        <f>SUM(Прил3!H318)</f>
        <v>0</v>
      </c>
      <c r="I192" s="23">
        <f>SUM(Прил3!I318)</f>
        <v>0</v>
      </c>
      <c r="J192" s="23">
        <f>SUM(Прил3!J318)</f>
        <v>0</v>
      </c>
      <c r="K192" s="23">
        <f>SUM(Прил3!K318)</f>
        <v>0</v>
      </c>
      <c r="L192" s="23"/>
      <c r="M192" s="24">
        <f t="shared" si="6"/>
        <v>17442470</v>
      </c>
    </row>
    <row r="193" spans="1:13" ht="102">
      <c r="A193" s="44">
        <v>250353</v>
      </c>
      <c r="B193" s="2" t="s">
        <v>733</v>
      </c>
      <c r="C193" s="23">
        <f>SUM(Прил3!C319)</f>
        <v>411181.6</v>
      </c>
      <c r="D193" s="23">
        <f>SUM(Прил3!D319)</f>
        <v>0</v>
      </c>
      <c r="E193" s="23">
        <f>SUM(Прил3!E319)</f>
        <v>0</v>
      </c>
      <c r="F193" s="23">
        <f>SUM(Прил3!F319)</f>
        <v>0</v>
      </c>
      <c r="G193" s="23">
        <f>SUM(Прил3!G319)</f>
        <v>0</v>
      </c>
      <c r="H193" s="23">
        <f>SUM(Прил3!H319)</f>
        <v>0</v>
      </c>
      <c r="I193" s="23">
        <f>SUM(Прил3!I319)</f>
        <v>0</v>
      </c>
      <c r="J193" s="23">
        <f>SUM(Прил3!J319)</f>
        <v>0</v>
      </c>
      <c r="K193" s="23">
        <f>SUM(Прил3!K319)</f>
        <v>0</v>
      </c>
      <c r="L193" s="23">
        <f>SUM(Прил3!L319)</f>
        <v>0</v>
      </c>
      <c r="M193" s="23">
        <f>SUM(Прил3!M319)</f>
        <v>375700</v>
      </c>
    </row>
    <row r="194" spans="1:13" ht="51">
      <c r="A194" s="22" t="s">
        <v>552</v>
      </c>
      <c r="B194" s="26" t="s">
        <v>357</v>
      </c>
      <c r="C194" s="23">
        <v>0</v>
      </c>
      <c r="D194" s="23">
        <v>0</v>
      </c>
      <c r="E194" s="23">
        <v>0</v>
      </c>
      <c r="F194" s="23">
        <v>1137720</v>
      </c>
      <c r="G194" s="23">
        <f>SUM(G195)</f>
        <v>95832</v>
      </c>
      <c r="H194" s="23">
        <v>0</v>
      </c>
      <c r="I194" s="23">
        <v>0</v>
      </c>
      <c r="J194" s="23">
        <f>SUM(J195:J196)</f>
        <v>1041888</v>
      </c>
      <c r="K194" s="23">
        <v>0</v>
      </c>
      <c r="L194" s="23"/>
      <c r="M194" s="24">
        <f t="shared" si="6"/>
        <v>1137720</v>
      </c>
    </row>
    <row r="195" spans="1:13" ht="25.5">
      <c r="A195" s="22"/>
      <c r="B195" s="27" t="s">
        <v>349</v>
      </c>
      <c r="C195" s="23">
        <v>0</v>
      </c>
      <c r="D195" s="23">
        <v>0</v>
      </c>
      <c r="E195" s="23">
        <v>0</v>
      </c>
      <c r="F195" s="23">
        <f>SUM(Прил3!F321)</f>
        <v>200366</v>
      </c>
      <c r="G195" s="23">
        <f>SUM(Прил3!G321)</f>
        <v>95832</v>
      </c>
      <c r="H195" s="23">
        <f>SUM(Прил3!H321)</f>
        <v>0</v>
      </c>
      <c r="I195" s="23">
        <f>SUM(Прил3!I321)</f>
        <v>0</v>
      </c>
      <c r="J195" s="23">
        <f>SUM(Прил3!J321)</f>
        <v>104534</v>
      </c>
      <c r="K195" s="23">
        <f>SUM(Прил3!K321)</f>
        <v>0</v>
      </c>
      <c r="L195" s="23"/>
      <c r="M195" s="24">
        <f t="shared" si="6"/>
        <v>200366</v>
      </c>
    </row>
    <row r="196" spans="1:13" ht="18" customHeight="1">
      <c r="A196" s="22"/>
      <c r="B196" s="27" t="s">
        <v>700</v>
      </c>
      <c r="C196" s="23">
        <v>0</v>
      </c>
      <c r="D196" s="23">
        <v>0</v>
      </c>
      <c r="E196" s="23">
        <v>0</v>
      </c>
      <c r="F196" s="23">
        <f>SUM(Прил3!F322)</f>
        <v>937354</v>
      </c>
      <c r="G196" s="23">
        <f>SUM(Прил3!G322)</f>
        <v>0</v>
      </c>
      <c r="H196" s="23">
        <f>SUM(Прил3!H322)</f>
        <v>0</v>
      </c>
      <c r="I196" s="23">
        <f>SUM(Прил3!I322)</f>
        <v>0</v>
      </c>
      <c r="J196" s="23">
        <f>SUM(Прил3!J322)</f>
        <v>937354</v>
      </c>
      <c r="K196" s="23">
        <f>SUM(Прил3!K322)</f>
        <v>0</v>
      </c>
      <c r="L196" s="23"/>
      <c r="M196" s="24">
        <f t="shared" si="6"/>
        <v>937354</v>
      </c>
    </row>
    <row r="197" spans="1:13" ht="52.5" customHeight="1">
      <c r="A197" s="22" t="s">
        <v>549</v>
      </c>
      <c r="B197" s="2" t="s">
        <v>73</v>
      </c>
      <c r="C197" s="23">
        <v>136040</v>
      </c>
      <c r="D197" s="23">
        <v>0</v>
      </c>
      <c r="E197" s="23">
        <v>0</v>
      </c>
      <c r="F197" s="23">
        <v>0</v>
      </c>
      <c r="G197" s="23">
        <v>0</v>
      </c>
      <c r="H197" s="23">
        <v>0</v>
      </c>
      <c r="I197" s="23">
        <v>0</v>
      </c>
      <c r="J197" s="23">
        <v>0</v>
      </c>
      <c r="K197" s="23">
        <v>0</v>
      </c>
      <c r="L197" s="23"/>
      <c r="M197" s="24">
        <f t="shared" si="6"/>
        <v>136040</v>
      </c>
    </row>
    <row r="198" spans="1:13" ht="12.75">
      <c r="A198" s="22" t="s">
        <v>32</v>
      </c>
      <c r="B198" s="25" t="s">
        <v>635</v>
      </c>
      <c r="C198" s="23">
        <f>SUM(Прил3!C324)</f>
        <v>1651766</v>
      </c>
      <c r="D198" s="23">
        <f>SUM(Прил3!D324)</f>
        <v>0</v>
      </c>
      <c r="E198" s="23">
        <f>SUM(Прил3!E324)</f>
        <v>0</v>
      </c>
      <c r="F198" s="23">
        <f>SUM(Прил3!F324)</f>
        <v>0</v>
      </c>
      <c r="G198" s="23">
        <f>SUM(Прил3!G324)</f>
        <v>0</v>
      </c>
      <c r="H198" s="23">
        <f>SUM(Прил3!H324)</f>
        <v>0</v>
      </c>
      <c r="I198" s="23">
        <f>SUM(Прил3!I324)</f>
        <v>0</v>
      </c>
      <c r="J198" s="23">
        <f>SUM(Прил3!J324)</f>
        <v>0</v>
      </c>
      <c r="K198" s="23">
        <f>SUM(Прил3!K324)</f>
        <v>0</v>
      </c>
      <c r="L198" s="23"/>
      <c r="M198" s="24">
        <f t="shared" si="6"/>
        <v>1651766</v>
      </c>
    </row>
    <row r="199" spans="1:13" ht="12.75">
      <c r="A199" s="32"/>
      <c r="B199" s="9" t="s">
        <v>714</v>
      </c>
      <c r="C199" s="21">
        <f>SUM(C187+C188)</f>
        <v>2254888690</v>
      </c>
      <c r="D199" s="21">
        <f aca="true" t="shared" si="8" ref="D199:L199">SUM(D187+D188)</f>
        <v>974115918.52</v>
      </c>
      <c r="E199" s="21">
        <f t="shared" si="8"/>
        <v>78213275</v>
      </c>
      <c r="F199" s="21">
        <f t="shared" si="8"/>
        <v>378896000</v>
      </c>
      <c r="G199" s="21">
        <f t="shared" si="8"/>
        <v>89945436</v>
      </c>
      <c r="H199" s="21">
        <f t="shared" si="8"/>
        <v>9288229</v>
      </c>
      <c r="I199" s="21">
        <f t="shared" si="8"/>
        <v>1653483</v>
      </c>
      <c r="J199" s="21">
        <f t="shared" si="8"/>
        <v>288950564</v>
      </c>
      <c r="K199" s="21">
        <f t="shared" si="8"/>
        <v>260121626</v>
      </c>
      <c r="L199" s="21">
        <f t="shared" si="8"/>
        <v>59472100</v>
      </c>
      <c r="M199" s="21">
        <f t="shared" si="6"/>
        <v>2633784690</v>
      </c>
    </row>
    <row r="200" spans="1:13" ht="12.75">
      <c r="A200" s="41"/>
      <c r="B200" s="42"/>
      <c r="C200" s="43"/>
      <c r="D200" s="43"/>
      <c r="E200" s="43"/>
      <c r="F200" s="43"/>
      <c r="G200" s="43"/>
      <c r="H200" s="43"/>
      <c r="I200" s="43"/>
      <c r="J200" s="43"/>
      <c r="K200" s="43"/>
      <c r="L200" s="43"/>
      <c r="M200" s="43"/>
    </row>
    <row r="201" spans="1:13" ht="12.75">
      <c r="A201" s="41"/>
      <c r="B201" s="42"/>
      <c r="C201" s="43"/>
      <c r="D201" s="43"/>
      <c r="E201" s="43"/>
      <c r="F201" s="43"/>
      <c r="G201" s="43"/>
      <c r="H201" s="43"/>
      <c r="I201" s="43"/>
      <c r="J201" s="43"/>
      <c r="K201" s="43"/>
      <c r="L201" s="43"/>
      <c r="M201" s="43"/>
    </row>
    <row r="202" spans="1:13" ht="12.75">
      <c r="A202" s="41"/>
      <c r="B202" s="42"/>
      <c r="C202" s="43"/>
      <c r="D202" s="43"/>
      <c r="E202" s="43"/>
      <c r="F202" s="43"/>
      <c r="G202" s="43"/>
      <c r="H202" s="43"/>
      <c r="I202" s="43"/>
      <c r="J202" s="43"/>
      <c r="K202" s="43"/>
      <c r="L202" s="43"/>
      <c r="M202" s="43"/>
    </row>
    <row r="203" spans="1:13" ht="12.75">
      <c r="A203" s="41"/>
      <c r="B203" s="42"/>
      <c r="C203" s="43"/>
      <c r="D203" s="43"/>
      <c r="E203" s="43"/>
      <c r="F203" s="43"/>
      <c r="G203" s="43"/>
      <c r="H203" s="43"/>
      <c r="I203" s="43"/>
      <c r="J203" s="43"/>
      <c r="K203" s="43"/>
      <c r="L203" s="43"/>
      <c r="M203" s="43"/>
    </row>
    <row r="204" spans="1:13" ht="12.75">
      <c r="A204" s="41"/>
      <c r="B204" s="42"/>
      <c r="C204" s="43"/>
      <c r="D204" s="43"/>
      <c r="E204" s="43"/>
      <c r="F204" s="43"/>
      <c r="G204" s="43"/>
      <c r="H204" s="43"/>
      <c r="I204" s="43"/>
      <c r="J204" s="43"/>
      <c r="K204" s="43"/>
      <c r="L204" s="43"/>
      <c r="M204" s="43"/>
    </row>
    <row r="205" spans="1:13" ht="12.75">
      <c r="A205" s="41"/>
      <c r="B205" s="42"/>
      <c r="C205" s="43"/>
      <c r="D205" s="43"/>
      <c r="E205" s="43"/>
      <c r="F205" s="43"/>
      <c r="G205" s="43"/>
      <c r="H205" s="43"/>
      <c r="I205" s="43"/>
      <c r="J205" s="43"/>
      <c r="K205" s="43"/>
      <c r="L205" s="43"/>
      <c r="M205" s="43"/>
    </row>
    <row r="206" spans="2:13" ht="12.75">
      <c r="B206" s="38">
        <v>41894</v>
      </c>
      <c r="C206" s="39">
        <v>2254288690</v>
      </c>
      <c r="D206" s="39">
        <v>973379523.52</v>
      </c>
      <c r="E206" s="39">
        <v>78213275</v>
      </c>
      <c r="F206" s="39">
        <v>370896000</v>
      </c>
      <c r="G206" s="39">
        <v>89945436</v>
      </c>
      <c r="H206" s="39">
        <v>9288229</v>
      </c>
      <c r="I206" s="39">
        <v>1653483</v>
      </c>
      <c r="J206" s="39">
        <v>280950564</v>
      </c>
      <c r="K206" s="39">
        <v>252121626</v>
      </c>
      <c r="L206" s="39">
        <v>51472100</v>
      </c>
      <c r="M206" s="40">
        <v>2625184690</v>
      </c>
    </row>
    <row r="207" spans="3:13" ht="12.75">
      <c r="C207" s="37">
        <f>SUM(C206-C199)</f>
        <v>-600000</v>
      </c>
      <c r="D207" s="37">
        <f aca="true" t="shared" si="9" ref="D207:M207">SUM(D206-D199)</f>
        <v>-736395</v>
      </c>
      <c r="E207" s="37">
        <f t="shared" si="9"/>
        <v>0</v>
      </c>
      <c r="F207" s="37">
        <f t="shared" si="9"/>
        <v>-8000000</v>
      </c>
      <c r="G207" s="37">
        <f t="shared" si="9"/>
        <v>0</v>
      </c>
      <c r="H207" s="37">
        <f t="shared" si="9"/>
        <v>0</v>
      </c>
      <c r="I207" s="37">
        <f t="shared" si="9"/>
        <v>0</v>
      </c>
      <c r="J207" s="37">
        <f t="shared" si="9"/>
        <v>-8000000</v>
      </c>
      <c r="K207" s="37">
        <f t="shared" si="9"/>
        <v>-8000000</v>
      </c>
      <c r="L207" s="37">
        <f>L206-L199</f>
        <v>-8000000</v>
      </c>
      <c r="M207" s="37">
        <f t="shared" si="9"/>
        <v>-8600000</v>
      </c>
    </row>
    <row r="208" spans="2:9" ht="12.75">
      <c r="B208" s="36"/>
      <c r="I208" s="13"/>
    </row>
  </sheetData>
  <sheetProtection selectLockedCells="1" selectUnlockedCells="1"/>
  <mergeCells count="19">
    <mergeCell ref="M10:M13"/>
    <mergeCell ref="C11:C13"/>
    <mergeCell ref="F10:L10"/>
    <mergeCell ref="K11:L11"/>
    <mergeCell ref="K12:K13"/>
    <mergeCell ref="D12:D13"/>
    <mergeCell ref="E12:E13"/>
    <mergeCell ref="H12:H13"/>
    <mergeCell ref="I12:I13"/>
    <mergeCell ref="A7:M7"/>
    <mergeCell ref="A8:M8"/>
    <mergeCell ref="J11:J13"/>
    <mergeCell ref="A10:A13"/>
    <mergeCell ref="B10:B13"/>
    <mergeCell ref="C10:E10"/>
    <mergeCell ref="D11:E11"/>
    <mergeCell ref="F11:F13"/>
    <mergeCell ref="G11:G13"/>
    <mergeCell ref="H11:I11"/>
  </mergeCells>
  <printOptions/>
  <pageMargins left="0.52" right="0.19" top="0.61" bottom="0.2" header="0.54" footer="0.19"/>
  <pageSetup fitToHeight="8" horizontalDpi="600" verticalDpi="600" orientation="landscape" paperSize="9" scale="63" r:id="rId1"/>
  <rowBreaks count="2" manualBreakCount="2">
    <brk id="163" max="12" man="1"/>
    <brk id="189" max="12" man="1"/>
  </rowBreaks>
</worksheet>
</file>

<file path=xl/worksheets/sheet3.xml><?xml version="1.0" encoding="utf-8"?>
<worksheet xmlns="http://schemas.openxmlformats.org/spreadsheetml/2006/main" xmlns:r="http://schemas.openxmlformats.org/officeDocument/2006/relationships">
  <dimension ref="A1:N331"/>
  <sheetViews>
    <sheetView view="pageBreakPreview" zoomScale="75" zoomScaleSheetLayoutView="75" workbookViewId="0" topLeftCell="E1">
      <selection activeCell="J5" sqref="J5"/>
    </sheetView>
  </sheetViews>
  <sheetFormatPr defaultColWidth="9.140625" defaultRowHeight="12.75"/>
  <cols>
    <col min="1" max="1" width="40.00390625" style="48" customWidth="1"/>
    <col min="2" max="2" width="49.140625" style="48" customWidth="1"/>
    <col min="3" max="3" width="30.421875" style="48" customWidth="1"/>
    <col min="4" max="4" width="26.421875" style="48" customWidth="1"/>
    <col min="5" max="5" width="28.140625" style="48" customWidth="1"/>
    <col min="6" max="6" width="25.8515625" style="48" customWidth="1"/>
    <col min="7" max="7" width="24.8515625" style="48" customWidth="1"/>
    <col min="8" max="8" width="20.8515625" style="48" customWidth="1"/>
    <col min="9" max="9" width="22.140625" style="48" customWidth="1"/>
    <col min="10" max="10" width="24.57421875" style="48" customWidth="1"/>
    <col min="11" max="12" width="27.28125" style="48" customWidth="1"/>
    <col min="13" max="13" width="22.57421875" style="48" customWidth="1"/>
    <col min="14" max="14" width="11.421875" style="48" bestFit="1" customWidth="1"/>
    <col min="15" max="16384" width="9.140625" style="48" customWidth="1"/>
  </cols>
  <sheetData>
    <row r="1" ht="16.5">
      <c r="K1" s="49" t="s">
        <v>366</v>
      </c>
    </row>
    <row r="2" ht="16.5">
      <c r="K2" s="49" t="s">
        <v>35</v>
      </c>
    </row>
    <row r="3" ht="16.5">
      <c r="K3" s="50" t="s">
        <v>359</v>
      </c>
    </row>
    <row r="4" ht="16.5">
      <c r="K4" s="50" t="s">
        <v>604</v>
      </c>
    </row>
    <row r="5" spans="11:12" ht="16.5">
      <c r="K5" s="556" t="s">
        <v>22</v>
      </c>
      <c r="L5" s="100"/>
    </row>
    <row r="7" spans="1:14" ht="16.5">
      <c r="A7" s="51"/>
      <c r="B7" s="52"/>
      <c r="C7" s="450" t="s">
        <v>387</v>
      </c>
      <c r="D7" s="451"/>
      <c r="E7" s="451"/>
      <c r="F7" s="451"/>
      <c r="G7" s="451"/>
      <c r="H7" s="451"/>
      <c r="I7" s="451"/>
      <c r="J7" s="451"/>
      <c r="K7" s="451"/>
      <c r="L7" s="451"/>
      <c r="M7" s="451"/>
      <c r="N7" s="451"/>
    </row>
    <row r="8" spans="1:13" ht="16.5">
      <c r="A8" s="454"/>
      <c r="B8" s="455"/>
      <c r="C8" s="455"/>
      <c r="D8" s="455"/>
      <c r="E8" s="455"/>
      <c r="F8" s="455"/>
      <c r="G8" s="455"/>
      <c r="H8" s="455"/>
      <c r="I8" s="455"/>
      <c r="J8" s="455"/>
      <c r="K8" s="455"/>
      <c r="L8" s="455"/>
      <c r="M8" s="455"/>
    </row>
    <row r="9" ht="17.25" thickBot="1">
      <c r="M9" s="53" t="s">
        <v>346</v>
      </c>
    </row>
    <row r="10" spans="1:13" ht="13.5" customHeight="1" thickBot="1">
      <c r="A10" s="456" t="s">
        <v>447</v>
      </c>
      <c r="B10" s="458" t="s">
        <v>33</v>
      </c>
      <c r="C10" s="482" t="s">
        <v>759</v>
      </c>
      <c r="D10" s="460"/>
      <c r="E10" s="461"/>
      <c r="F10" s="482" t="s">
        <v>382</v>
      </c>
      <c r="G10" s="460"/>
      <c r="H10" s="460"/>
      <c r="I10" s="460"/>
      <c r="J10" s="460"/>
      <c r="K10" s="460"/>
      <c r="L10" s="462"/>
      <c r="M10" s="488" t="s">
        <v>705</v>
      </c>
    </row>
    <row r="11" spans="1:13" ht="45" customHeight="1" thickBot="1">
      <c r="A11" s="457"/>
      <c r="B11" s="444"/>
      <c r="C11" s="463" t="s">
        <v>704</v>
      </c>
      <c r="D11" s="482" t="s">
        <v>383</v>
      </c>
      <c r="E11" s="483"/>
      <c r="F11" s="484" t="s">
        <v>704</v>
      </c>
      <c r="G11" s="486" t="s">
        <v>368</v>
      </c>
      <c r="H11" s="482" t="s">
        <v>383</v>
      </c>
      <c r="I11" s="483"/>
      <c r="J11" s="484" t="s">
        <v>369</v>
      </c>
      <c r="K11" s="482" t="s">
        <v>383</v>
      </c>
      <c r="L11" s="483"/>
      <c r="M11" s="489"/>
    </row>
    <row r="12" spans="1:13" ht="12.75" customHeight="1" thickBot="1">
      <c r="A12" s="448" t="s">
        <v>637</v>
      </c>
      <c r="B12" s="484" t="s">
        <v>638</v>
      </c>
      <c r="C12" s="489"/>
      <c r="D12" s="486" t="s">
        <v>653</v>
      </c>
      <c r="E12" s="486" t="s">
        <v>367</v>
      </c>
      <c r="F12" s="464"/>
      <c r="G12" s="452"/>
      <c r="H12" s="486" t="s">
        <v>653</v>
      </c>
      <c r="I12" s="486" t="s">
        <v>367</v>
      </c>
      <c r="J12" s="464"/>
      <c r="K12" s="486" t="s">
        <v>370</v>
      </c>
      <c r="L12" s="54" t="s">
        <v>371</v>
      </c>
      <c r="M12" s="489"/>
    </row>
    <row r="13" spans="1:13" ht="103.5" customHeight="1" thickBot="1">
      <c r="A13" s="449"/>
      <c r="B13" s="485"/>
      <c r="C13" s="459"/>
      <c r="D13" s="487"/>
      <c r="E13" s="487"/>
      <c r="F13" s="459"/>
      <c r="G13" s="453"/>
      <c r="H13" s="487"/>
      <c r="I13" s="487"/>
      <c r="J13" s="459"/>
      <c r="K13" s="447"/>
      <c r="L13" s="47" t="s">
        <v>732</v>
      </c>
      <c r="M13" s="459"/>
    </row>
    <row r="14" spans="1:13" ht="18.75" customHeight="1" thickBot="1">
      <c r="A14" s="104">
        <v>1</v>
      </c>
      <c r="B14" s="103">
        <v>2</v>
      </c>
      <c r="C14" s="46">
        <v>3</v>
      </c>
      <c r="D14" s="46">
        <v>4</v>
      </c>
      <c r="E14" s="46">
        <v>5</v>
      </c>
      <c r="F14" s="46">
        <v>6</v>
      </c>
      <c r="G14" s="46">
        <v>7</v>
      </c>
      <c r="H14" s="46">
        <v>8</v>
      </c>
      <c r="I14" s="46">
        <v>9</v>
      </c>
      <c r="J14" s="46">
        <v>10</v>
      </c>
      <c r="K14" s="46">
        <v>11</v>
      </c>
      <c r="L14" s="46">
        <v>12</v>
      </c>
      <c r="M14" s="55" t="s">
        <v>448</v>
      </c>
    </row>
    <row r="15" spans="1:13" ht="33">
      <c r="A15" s="56" t="s">
        <v>381</v>
      </c>
      <c r="B15" s="57" t="s">
        <v>644</v>
      </c>
      <c r="C15" s="58">
        <f>C16+C17+C21+C23+C24</f>
        <v>44501214.2</v>
      </c>
      <c r="D15" s="58">
        <f>SUM(D16)</f>
        <v>29227548</v>
      </c>
      <c r="E15" s="58">
        <f>SUM(E16)</f>
        <v>875820</v>
      </c>
      <c r="F15" s="58">
        <f>SUM(F21+F16)</f>
        <v>2016412</v>
      </c>
      <c r="G15" s="58">
        <f>SUM(G21)</f>
        <v>1779312</v>
      </c>
      <c r="H15" s="58">
        <v>0</v>
      </c>
      <c r="I15" s="58">
        <v>0</v>
      </c>
      <c r="J15" s="58">
        <f>SUM(J16)</f>
        <v>237100</v>
      </c>
      <c r="K15" s="58">
        <f>SUM(K16)</f>
        <v>237100</v>
      </c>
      <c r="L15" s="58">
        <f>SUM(L16)</f>
        <v>237100</v>
      </c>
      <c r="M15" s="58">
        <f aca="true" t="shared" si="0" ref="M15:M83">C15+F15</f>
        <v>46517626.2</v>
      </c>
    </row>
    <row r="16" spans="1:13" ht="54.75" customHeight="1">
      <c r="A16" s="59" t="s">
        <v>449</v>
      </c>
      <c r="B16" s="60" t="s">
        <v>706</v>
      </c>
      <c r="C16" s="61">
        <f>32328468-258493+118273+8188152-1218500+2563600+262859</f>
        <v>41984359</v>
      </c>
      <c r="D16" s="61">
        <f>20936480-189650+86670+6007448+2386600</f>
        <v>29227548</v>
      </c>
      <c r="E16" s="61">
        <f>698820+177000</f>
        <v>875820</v>
      </c>
      <c r="F16" s="61">
        <f>SUM(G16+J16)</f>
        <v>237100</v>
      </c>
      <c r="G16" s="61">
        <v>0</v>
      </c>
      <c r="H16" s="61">
        <v>0</v>
      </c>
      <c r="I16" s="61">
        <v>0</v>
      </c>
      <c r="J16" s="61">
        <v>237100</v>
      </c>
      <c r="K16" s="61">
        <v>237100</v>
      </c>
      <c r="L16" s="61">
        <v>237100</v>
      </c>
      <c r="M16" s="62">
        <f t="shared" si="0"/>
        <v>42221459</v>
      </c>
    </row>
    <row r="17" spans="1:13" ht="33">
      <c r="A17" s="59" t="s">
        <v>450</v>
      </c>
      <c r="B17" s="63" t="s">
        <v>581</v>
      </c>
      <c r="C17" s="61">
        <f>SUM(C18:C20)</f>
        <v>10655.2</v>
      </c>
      <c r="D17" s="61">
        <v>0</v>
      </c>
      <c r="E17" s="61">
        <v>0</v>
      </c>
      <c r="F17" s="61">
        <v>0</v>
      </c>
      <c r="G17" s="61">
        <v>0</v>
      </c>
      <c r="H17" s="61">
        <v>0</v>
      </c>
      <c r="I17" s="61">
        <v>0</v>
      </c>
      <c r="J17" s="61">
        <v>0</v>
      </c>
      <c r="K17" s="61">
        <v>0</v>
      </c>
      <c r="L17" s="61"/>
      <c r="M17" s="62">
        <f t="shared" si="0"/>
        <v>10655.2</v>
      </c>
    </row>
    <row r="18" spans="1:13" ht="49.5">
      <c r="A18" s="59"/>
      <c r="B18" s="63" t="s">
        <v>628</v>
      </c>
      <c r="C18" s="61">
        <f>68400-62840</f>
        <v>5560</v>
      </c>
      <c r="D18" s="61"/>
      <c r="E18" s="61"/>
      <c r="F18" s="61"/>
      <c r="G18" s="61"/>
      <c r="H18" s="61"/>
      <c r="I18" s="61"/>
      <c r="J18" s="61"/>
      <c r="K18" s="61"/>
      <c r="L18" s="61"/>
      <c r="M18" s="62">
        <f>SUM(C18)</f>
        <v>5560</v>
      </c>
    </row>
    <row r="19" spans="1:13" ht="49.5">
      <c r="A19" s="59"/>
      <c r="B19" s="63" t="s">
        <v>434</v>
      </c>
      <c r="C19" s="61">
        <f>451820-451160</f>
        <v>660</v>
      </c>
      <c r="D19" s="61"/>
      <c r="E19" s="61"/>
      <c r="F19" s="61"/>
      <c r="G19" s="61"/>
      <c r="H19" s="61"/>
      <c r="I19" s="61"/>
      <c r="J19" s="61"/>
      <c r="K19" s="61"/>
      <c r="L19" s="61"/>
      <c r="M19" s="62">
        <f>SUM(C19)</f>
        <v>660</v>
      </c>
    </row>
    <row r="20" spans="1:13" ht="97.5" customHeight="1">
      <c r="A20" s="59"/>
      <c r="B20" s="60" t="s">
        <v>76</v>
      </c>
      <c r="C20" s="61">
        <v>4435.2</v>
      </c>
      <c r="D20" s="61"/>
      <c r="E20" s="61"/>
      <c r="F20" s="61"/>
      <c r="G20" s="61"/>
      <c r="H20" s="61"/>
      <c r="I20" s="61"/>
      <c r="J20" s="61"/>
      <c r="K20" s="61"/>
      <c r="L20" s="61"/>
      <c r="M20" s="62">
        <f t="shared" si="0"/>
        <v>4435.2</v>
      </c>
    </row>
    <row r="21" spans="1:13" ht="75" customHeight="1">
      <c r="A21" s="59" t="s">
        <v>451</v>
      </c>
      <c r="B21" s="60" t="s">
        <v>762</v>
      </c>
      <c r="C21" s="61">
        <v>0</v>
      </c>
      <c r="D21" s="61">
        <v>0</v>
      </c>
      <c r="E21" s="61">
        <v>0</v>
      </c>
      <c r="F21" s="61">
        <f>SUM(F22)</f>
        <v>1779312</v>
      </c>
      <c r="G21" s="61">
        <f>SUM(G22)</f>
        <v>1779312</v>
      </c>
      <c r="H21" s="61">
        <v>0</v>
      </c>
      <c r="I21" s="61">
        <v>0</v>
      </c>
      <c r="J21" s="61">
        <v>0</v>
      </c>
      <c r="K21" s="61">
        <v>0</v>
      </c>
      <c r="L21" s="61"/>
      <c r="M21" s="62">
        <f t="shared" si="0"/>
        <v>1779312</v>
      </c>
    </row>
    <row r="22" spans="1:13" ht="33">
      <c r="A22" s="59"/>
      <c r="B22" s="60" t="s">
        <v>739</v>
      </c>
      <c r="C22" s="61"/>
      <c r="D22" s="61"/>
      <c r="E22" s="61"/>
      <c r="F22" s="61">
        <f>SUM(G22)</f>
        <v>1779312</v>
      </c>
      <c r="G22" s="61">
        <v>1779312</v>
      </c>
      <c r="H22" s="61"/>
      <c r="I22" s="61"/>
      <c r="J22" s="61"/>
      <c r="K22" s="61"/>
      <c r="L22" s="61"/>
      <c r="M22" s="62">
        <f>SUM(F22)</f>
        <v>1779312</v>
      </c>
    </row>
    <row r="23" spans="1:13" ht="72.75" customHeight="1">
      <c r="A23" s="74">
        <v>250203</v>
      </c>
      <c r="B23" s="60" t="s">
        <v>734</v>
      </c>
      <c r="C23" s="61">
        <v>2364700</v>
      </c>
      <c r="D23" s="61"/>
      <c r="E23" s="61"/>
      <c r="F23" s="61"/>
      <c r="G23" s="61"/>
      <c r="H23" s="61"/>
      <c r="I23" s="61"/>
      <c r="J23" s="61"/>
      <c r="K23" s="61"/>
      <c r="L23" s="61"/>
      <c r="M23" s="62">
        <f>SUM(C23)</f>
        <v>2364700</v>
      </c>
    </row>
    <row r="24" spans="1:13" ht="27" customHeight="1" thickBot="1">
      <c r="A24" s="59" t="s">
        <v>452</v>
      </c>
      <c r="B24" s="60" t="s">
        <v>640</v>
      </c>
      <c r="C24" s="61">
        <f>541500-400000</f>
        <v>141500</v>
      </c>
      <c r="D24" s="61">
        <v>0</v>
      </c>
      <c r="E24" s="61">
        <v>0</v>
      </c>
      <c r="F24" s="61">
        <v>0</v>
      </c>
      <c r="G24" s="61">
        <v>0</v>
      </c>
      <c r="H24" s="61">
        <v>0</v>
      </c>
      <c r="I24" s="61">
        <v>0</v>
      </c>
      <c r="J24" s="61">
        <v>0</v>
      </c>
      <c r="K24" s="61">
        <v>0</v>
      </c>
      <c r="L24" s="61"/>
      <c r="M24" s="62">
        <f t="shared" si="0"/>
        <v>141500</v>
      </c>
    </row>
    <row r="25" spans="1:13" ht="33">
      <c r="A25" s="64">
        <v>10</v>
      </c>
      <c r="B25" s="65" t="s">
        <v>629</v>
      </c>
      <c r="C25" s="58">
        <f>C26+C27+C36+C37+C39+C41+C45</f>
        <v>692233882.06</v>
      </c>
      <c r="D25" s="58">
        <f>D26+D27+D37</f>
        <v>450553698</v>
      </c>
      <c r="E25" s="58">
        <f>SUM(E27+E37+E45)</f>
        <v>43483449.26</v>
      </c>
      <c r="F25" s="58">
        <f>F26+F27+F38+F42+F43</f>
        <v>45886174</v>
      </c>
      <c r="G25" s="58">
        <f>G26+G27+G42+G43</f>
        <v>30338636</v>
      </c>
      <c r="H25" s="58">
        <v>0</v>
      </c>
      <c r="I25" s="58">
        <v>304760</v>
      </c>
      <c r="J25" s="58">
        <f>SUM(J38+J43)</f>
        <v>15547538</v>
      </c>
      <c r="K25" s="58">
        <f>SUM(K38)</f>
        <v>15400884</v>
      </c>
      <c r="L25" s="58"/>
      <c r="M25" s="58">
        <f t="shared" si="0"/>
        <v>738120056.06</v>
      </c>
    </row>
    <row r="26" spans="1:13" ht="16.5">
      <c r="A26" s="59" t="s">
        <v>449</v>
      </c>
      <c r="B26" s="60" t="s">
        <v>706</v>
      </c>
      <c r="C26" s="61">
        <f>2729594+675446</f>
        <v>3405040</v>
      </c>
      <c r="D26" s="61">
        <f>1977140+495558</f>
        <v>2472698</v>
      </c>
      <c r="E26" s="61">
        <v>0</v>
      </c>
      <c r="F26" s="61">
        <v>0</v>
      </c>
      <c r="G26" s="61">
        <v>0</v>
      </c>
      <c r="H26" s="61">
        <v>0</v>
      </c>
      <c r="I26" s="61">
        <v>0</v>
      </c>
      <c r="J26" s="61">
        <v>0</v>
      </c>
      <c r="K26" s="61">
        <v>0</v>
      </c>
      <c r="L26" s="61"/>
      <c r="M26" s="62">
        <f t="shared" si="0"/>
        <v>3405040</v>
      </c>
    </row>
    <row r="27" spans="1:13" ht="16.5">
      <c r="A27" s="66" t="s">
        <v>453</v>
      </c>
      <c r="B27" s="60" t="s">
        <v>709</v>
      </c>
      <c r="C27" s="67">
        <f>C28+C29+C31+C32+C33+C34+C35</f>
        <v>678484965</v>
      </c>
      <c r="D27" s="67">
        <f>SUM(D28+D29+D31+D32+D33+D34)</f>
        <v>441268800</v>
      </c>
      <c r="E27" s="67">
        <f>SUM(E28+E29+E31+E32+E33+E34+E35)</f>
        <v>42665260</v>
      </c>
      <c r="F27" s="67">
        <v>21874320</v>
      </c>
      <c r="G27" s="67">
        <v>21874320</v>
      </c>
      <c r="H27" s="67">
        <v>0</v>
      </c>
      <c r="I27" s="67">
        <v>304760</v>
      </c>
      <c r="J27" s="67">
        <v>0</v>
      </c>
      <c r="K27" s="67">
        <v>0</v>
      </c>
      <c r="L27" s="67"/>
      <c r="M27" s="68">
        <f t="shared" si="0"/>
        <v>700359285</v>
      </c>
    </row>
    <row r="28" spans="1:13" ht="16.5">
      <c r="A28" s="59" t="s">
        <v>454</v>
      </c>
      <c r="B28" s="60" t="s">
        <v>436</v>
      </c>
      <c r="C28" s="61">
        <f>143705845+76471900-4000+1248100</f>
        <v>221421845</v>
      </c>
      <c r="D28" s="61">
        <f>82030980+56105600+736395</f>
        <v>138872975</v>
      </c>
      <c r="E28" s="61">
        <v>19283860</v>
      </c>
      <c r="F28" s="61">
        <v>19877040</v>
      </c>
      <c r="G28" s="61">
        <v>19877040</v>
      </c>
      <c r="H28" s="61">
        <v>0</v>
      </c>
      <c r="I28" s="61">
        <v>3040</v>
      </c>
      <c r="J28" s="61">
        <v>0</v>
      </c>
      <c r="K28" s="61">
        <v>0</v>
      </c>
      <c r="L28" s="61"/>
      <c r="M28" s="62">
        <f t="shared" si="0"/>
        <v>241298885</v>
      </c>
    </row>
    <row r="29" spans="1:13" ht="66">
      <c r="A29" s="59" t="s">
        <v>551</v>
      </c>
      <c r="B29" s="60" t="s">
        <v>582</v>
      </c>
      <c r="C29" s="61">
        <f>280057852+115900+1101700+134231706</f>
        <v>415507158</v>
      </c>
      <c r="D29" s="61">
        <f>173408440+85025+808300+98483000</f>
        <v>272784765</v>
      </c>
      <c r="E29" s="61">
        <v>22662820</v>
      </c>
      <c r="F29" s="61">
        <v>1964220</v>
      </c>
      <c r="G29" s="61">
        <v>1964220</v>
      </c>
      <c r="H29" s="61">
        <v>0</v>
      </c>
      <c r="I29" s="61">
        <v>301720</v>
      </c>
      <c r="J29" s="61">
        <v>0</v>
      </c>
      <c r="K29" s="61">
        <v>0</v>
      </c>
      <c r="L29" s="61"/>
      <c r="M29" s="62">
        <f t="shared" si="0"/>
        <v>417471378</v>
      </c>
    </row>
    <row r="30" spans="1:13" ht="66">
      <c r="A30" s="59"/>
      <c r="B30" s="60" t="s">
        <v>743</v>
      </c>
      <c r="C30" s="61">
        <v>5714440</v>
      </c>
      <c r="D30" s="61"/>
      <c r="E30" s="61"/>
      <c r="F30" s="61"/>
      <c r="G30" s="61"/>
      <c r="H30" s="61"/>
      <c r="I30" s="61"/>
      <c r="J30" s="61"/>
      <c r="K30" s="61"/>
      <c r="L30" s="61"/>
      <c r="M30" s="62">
        <f>SUM(C30)</f>
        <v>5714440</v>
      </c>
    </row>
    <row r="31" spans="1:13" ht="49.5">
      <c r="A31" s="59" t="s">
        <v>455</v>
      </c>
      <c r="B31" s="60" t="s">
        <v>34</v>
      </c>
      <c r="C31" s="61">
        <f>17053291+6632200</f>
        <v>23685491</v>
      </c>
      <c r="D31" s="61">
        <f>12098440+4865800</f>
        <v>16964240</v>
      </c>
      <c r="E31" s="61">
        <v>453340</v>
      </c>
      <c r="F31" s="61">
        <v>33060</v>
      </c>
      <c r="G31" s="61">
        <v>33060</v>
      </c>
      <c r="H31" s="61">
        <v>0</v>
      </c>
      <c r="I31" s="61">
        <v>0</v>
      </c>
      <c r="J31" s="61">
        <v>0</v>
      </c>
      <c r="K31" s="61">
        <v>0</v>
      </c>
      <c r="L31" s="61"/>
      <c r="M31" s="62">
        <f t="shared" si="0"/>
        <v>23718551</v>
      </c>
    </row>
    <row r="32" spans="1:13" ht="33">
      <c r="A32" s="59" t="s">
        <v>456</v>
      </c>
      <c r="B32" s="60" t="s">
        <v>13</v>
      </c>
      <c r="C32" s="61">
        <f>4351840+2326800</f>
        <v>6678640</v>
      </c>
      <c r="D32" s="61">
        <f>3176040+1707100</f>
        <v>4883140</v>
      </c>
      <c r="E32" s="61">
        <v>0</v>
      </c>
      <c r="F32" s="61">
        <v>0</v>
      </c>
      <c r="G32" s="61">
        <v>0</v>
      </c>
      <c r="H32" s="61">
        <v>0</v>
      </c>
      <c r="I32" s="61">
        <v>0</v>
      </c>
      <c r="J32" s="61">
        <v>0</v>
      </c>
      <c r="K32" s="61">
        <v>0</v>
      </c>
      <c r="L32" s="61"/>
      <c r="M32" s="62">
        <f t="shared" si="0"/>
        <v>6678640</v>
      </c>
    </row>
    <row r="33" spans="1:13" ht="33">
      <c r="A33" s="59" t="s">
        <v>457</v>
      </c>
      <c r="B33" s="60" t="s">
        <v>14</v>
      </c>
      <c r="C33" s="61">
        <f>5187761+1885186+4000</f>
        <v>7076947</v>
      </c>
      <c r="D33" s="61">
        <f>3800380+1383100</f>
        <v>5183480</v>
      </c>
      <c r="E33" s="61">
        <v>0</v>
      </c>
      <c r="F33" s="61">
        <v>0</v>
      </c>
      <c r="G33" s="61">
        <v>0</v>
      </c>
      <c r="H33" s="61">
        <v>0</v>
      </c>
      <c r="I33" s="61">
        <v>0</v>
      </c>
      <c r="J33" s="61">
        <v>0</v>
      </c>
      <c r="K33" s="61">
        <v>0</v>
      </c>
      <c r="L33" s="61"/>
      <c r="M33" s="62">
        <f t="shared" si="0"/>
        <v>7076947</v>
      </c>
    </row>
    <row r="34" spans="1:13" ht="33">
      <c r="A34" s="59" t="s">
        <v>458</v>
      </c>
      <c r="B34" s="60" t="s">
        <v>362</v>
      </c>
      <c r="C34" s="61">
        <f>2813536+1191300</f>
        <v>4004836</v>
      </c>
      <c r="D34" s="61">
        <f>1706200+874000</f>
        <v>2580200</v>
      </c>
      <c r="E34" s="61">
        <v>265240</v>
      </c>
      <c r="F34" s="61">
        <v>0</v>
      </c>
      <c r="G34" s="61">
        <v>0</v>
      </c>
      <c r="H34" s="61">
        <v>0</v>
      </c>
      <c r="I34" s="61">
        <v>0</v>
      </c>
      <c r="J34" s="61">
        <v>0</v>
      </c>
      <c r="K34" s="61">
        <v>0</v>
      </c>
      <c r="L34" s="61"/>
      <c r="M34" s="62">
        <f t="shared" si="0"/>
        <v>4004836</v>
      </c>
    </row>
    <row r="35" spans="1:13" ht="49.5">
      <c r="A35" s="59" t="s">
        <v>459</v>
      </c>
      <c r="B35" s="60" t="s">
        <v>749</v>
      </c>
      <c r="C35" s="61">
        <f>103170+6878</f>
        <v>110048</v>
      </c>
      <c r="D35" s="61">
        <v>0</v>
      </c>
      <c r="E35" s="61">
        <v>0</v>
      </c>
      <c r="F35" s="61">
        <v>0</v>
      </c>
      <c r="G35" s="61">
        <v>0</v>
      </c>
      <c r="H35" s="61">
        <v>0</v>
      </c>
      <c r="I35" s="61">
        <v>0</v>
      </c>
      <c r="J35" s="61">
        <v>0</v>
      </c>
      <c r="K35" s="61">
        <v>0</v>
      </c>
      <c r="L35" s="61"/>
      <c r="M35" s="62">
        <f t="shared" si="0"/>
        <v>110048</v>
      </c>
    </row>
    <row r="36" spans="1:13" ht="105" customHeight="1">
      <c r="A36" s="59" t="s">
        <v>460</v>
      </c>
      <c r="B36" s="60" t="s">
        <v>291</v>
      </c>
      <c r="C36" s="61">
        <v>201780</v>
      </c>
      <c r="D36" s="61">
        <v>0</v>
      </c>
      <c r="E36" s="61">
        <v>0</v>
      </c>
      <c r="F36" s="61">
        <v>0</v>
      </c>
      <c r="G36" s="61">
        <v>0</v>
      </c>
      <c r="H36" s="61">
        <v>0</v>
      </c>
      <c r="I36" s="61">
        <v>0</v>
      </c>
      <c r="J36" s="61">
        <v>0</v>
      </c>
      <c r="K36" s="61">
        <v>0</v>
      </c>
      <c r="L36" s="61"/>
      <c r="M36" s="62">
        <f t="shared" si="0"/>
        <v>201780</v>
      </c>
    </row>
    <row r="37" spans="1:13" ht="36.75" customHeight="1">
      <c r="A37" s="59" t="s">
        <v>461</v>
      </c>
      <c r="B37" s="60" t="s">
        <v>740</v>
      </c>
      <c r="C37" s="61">
        <f>5913719+3937300</f>
        <v>9851019</v>
      </c>
      <c r="D37" s="61">
        <f>3923500+2888700</f>
        <v>6812200</v>
      </c>
      <c r="E37" s="61">
        <v>550620</v>
      </c>
      <c r="F37" s="61">
        <v>0</v>
      </c>
      <c r="G37" s="61">
        <v>0</v>
      </c>
      <c r="H37" s="61">
        <v>0</v>
      </c>
      <c r="I37" s="61">
        <v>0</v>
      </c>
      <c r="J37" s="61">
        <v>0</v>
      </c>
      <c r="K37" s="61">
        <v>0</v>
      </c>
      <c r="L37" s="61"/>
      <c r="M37" s="62">
        <f t="shared" si="0"/>
        <v>9851019</v>
      </c>
    </row>
    <row r="38" spans="1:13" ht="16.5">
      <c r="A38" s="59" t="s">
        <v>584</v>
      </c>
      <c r="B38" s="60" t="s">
        <v>598</v>
      </c>
      <c r="C38" s="61">
        <v>0</v>
      </c>
      <c r="D38" s="61">
        <v>0</v>
      </c>
      <c r="E38" s="61">
        <v>0</v>
      </c>
      <c r="F38" s="61">
        <v>15400884</v>
      </c>
      <c r="G38" s="61">
        <v>0</v>
      </c>
      <c r="H38" s="61">
        <v>0</v>
      </c>
      <c r="I38" s="61">
        <v>0</v>
      </c>
      <c r="J38" s="61">
        <v>15400884</v>
      </c>
      <c r="K38" s="61">
        <v>15400884</v>
      </c>
      <c r="L38" s="61"/>
      <c r="M38" s="62">
        <f t="shared" si="0"/>
        <v>15400884</v>
      </c>
    </row>
    <row r="39" spans="1:13" ht="49.5">
      <c r="A39" s="74">
        <v>180410</v>
      </c>
      <c r="B39" s="60" t="s">
        <v>409</v>
      </c>
      <c r="C39" s="61">
        <f>SUM(C40)</f>
        <v>4508.8</v>
      </c>
      <c r="D39" s="61"/>
      <c r="E39" s="61"/>
      <c r="F39" s="61"/>
      <c r="G39" s="61"/>
      <c r="H39" s="61"/>
      <c r="I39" s="61"/>
      <c r="J39" s="61"/>
      <c r="K39" s="61"/>
      <c r="L39" s="61"/>
      <c r="M39" s="62">
        <f>SUM(M40)</f>
        <v>4508.8</v>
      </c>
    </row>
    <row r="40" spans="1:13" ht="107.25" customHeight="1">
      <c r="A40" s="74"/>
      <c r="B40" s="60" t="s">
        <v>76</v>
      </c>
      <c r="C40" s="61">
        <v>4508.8</v>
      </c>
      <c r="D40" s="61"/>
      <c r="E40" s="61"/>
      <c r="F40" s="61"/>
      <c r="G40" s="61"/>
      <c r="H40" s="61"/>
      <c r="I40" s="61"/>
      <c r="J40" s="61"/>
      <c r="K40" s="61"/>
      <c r="L40" s="61"/>
      <c r="M40" s="62">
        <f t="shared" si="0"/>
        <v>4508.8</v>
      </c>
    </row>
    <row r="41" spans="1:13" ht="33">
      <c r="A41" s="59" t="s">
        <v>462</v>
      </c>
      <c r="B41" s="69" t="s">
        <v>578</v>
      </c>
      <c r="C41" s="61">
        <v>19000</v>
      </c>
      <c r="D41" s="61">
        <v>0</v>
      </c>
      <c r="E41" s="61">
        <v>0</v>
      </c>
      <c r="F41" s="61">
        <v>0</v>
      </c>
      <c r="G41" s="61">
        <v>0</v>
      </c>
      <c r="H41" s="61">
        <v>0</v>
      </c>
      <c r="I41" s="61">
        <v>0</v>
      </c>
      <c r="J41" s="61">
        <v>0</v>
      </c>
      <c r="K41" s="61">
        <v>0</v>
      </c>
      <c r="L41" s="61"/>
      <c r="M41" s="62">
        <f t="shared" si="0"/>
        <v>19000</v>
      </c>
    </row>
    <row r="42" spans="1:13" ht="33">
      <c r="A42" s="59" t="s">
        <v>463</v>
      </c>
      <c r="B42" s="60" t="s">
        <v>445</v>
      </c>
      <c r="C42" s="61">
        <v>0</v>
      </c>
      <c r="D42" s="61">
        <v>0</v>
      </c>
      <c r="E42" s="61">
        <v>0</v>
      </c>
      <c r="F42" s="61">
        <v>110196</v>
      </c>
      <c r="G42" s="61">
        <v>110196</v>
      </c>
      <c r="H42" s="61">
        <v>0</v>
      </c>
      <c r="I42" s="61">
        <v>0</v>
      </c>
      <c r="J42" s="61">
        <v>0</v>
      </c>
      <c r="K42" s="61">
        <v>0</v>
      </c>
      <c r="L42" s="61"/>
      <c r="M42" s="62">
        <f t="shared" si="0"/>
        <v>110196</v>
      </c>
    </row>
    <row r="43" spans="1:13" ht="72" customHeight="1">
      <c r="A43" s="59" t="s">
        <v>451</v>
      </c>
      <c r="B43" s="60" t="s">
        <v>762</v>
      </c>
      <c r="C43" s="61">
        <v>0</v>
      </c>
      <c r="D43" s="61">
        <v>0</v>
      </c>
      <c r="E43" s="61">
        <v>0</v>
      </c>
      <c r="F43" s="61">
        <f>SUM(F44)</f>
        <v>8500774</v>
      </c>
      <c r="G43" s="61">
        <f>SUM(G44)</f>
        <v>8354120</v>
      </c>
      <c r="H43" s="61">
        <v>0</v>
      </c>
      <c r="I43" s="61">
        <v>0</v>
      </c>
      <c r="J43" s="61">
        <v>146654</v>
      </c>
      <c r="K43" s="61">
        <v>0</v>
      </c>
      <c r="L43" s="61"/>
      <c r="M43" s="62">
        <f t="shared" si="0"/>
        <v>8500774</v>
      </c>
    </row>
    <row r="44" spans="1:13" ht="33">
      <c r="A44" s="70"/>
      <c r="B44" s="60" t="s">
        <v>739</v>
      </c>
      <c r="C44" s="61"/>
      <c r="D44" s="61"/>
      <c r="E44" s="61"/>
      <c r="F44" s="61">
        <f>SUM(G44+J44)</f>
        <v>8500774</v>
      </c>
      <c r="G44" s="61">
        <f>8384120-30000</f>
        <v>8354120</v>
      </c>
      <c r="H44" s="61">
        <v>0</v>
      </c>
      <c r="I44" s="61">
        <v>0</v>
      </c>
      <c r="J44" s="61">
        <v>146654</v>
      </c>
      <c r="K44" s="61"/>
      <c r="L44" s="61"/>
      <c r="M44" s="62">
        <f>SUM(F44)</f>
        <v>8500774</v>
      </c>
    </row>
    <row r="45" spans="1:13" ht="33">
      <c r="A45" s="101">
        <v>250404</v>
      </c>
      <c r="B45" s="60" t="s">
        <v>484</v>
      </c>
      <c r="C45" s="61">
        <v>267569.26</v>
      </c>
      <c r="D45" s="61"/>
      <c r="E45" s="61">
        <v>267569.26</v>
      </c>
      <c r="F45" s="61"/>
      <c r="G45" s="61"/>
      <c r="H45" s="61"/>
      <c r="I45" s="61"/>
      <c r="J45" s="61"/>
      <c r="K45" s="61"/>
      <c r="L45" s="61"/>
      <c r="M45" s="62">
        <f>SUM(C45)</f>
        <v>267569.26</v>
      </c>
    </row>
    <row r="46" spans="1:13" ht="33">
      <c r="A46" s="56">
        <v>11</v>
      </c>
      <c r="B46" s="57" t="s">
        <v>38</v>
      </c>
      <c r="C46" s="58">
        <f>SUM(C47+C48+C49+C50+C51+C52+C53+C58)</f>
        <v>13714909.2</v>
      </c>
      <c r="D46" s="58">
        <f>SUM(D47+D48+D49+D50+D51+D52+D56)</f>
        <v>9338232</v>
      </c>
      <c r="E46" s="58">
        <f>SUM(E47+E48+E49+E50+E51+E52+E56+E58)</f>
        <v>364540</v>
      </c>
      <c r="F46" s="58">
        <f>F50+F56</f>
        <v>271060</v>
      </c>
      <c r="G46" s="58">
        <f>SUM(G50+G56)</f>
        <v>271060</v>
      </c>
      <c r="H46" s="58">
        <v>0</v>
      </c>
      <c r="I46" s="58">
        <v>24700</v>
      </c>
      <c r="J46" s="58">
        <v>0</v>
      </c>
      <c r="K46" s="58">
        <v>0</v>
      </c>
      <c r="L46" s="58"/>
      <c r="M46" s="58">
        <f t="shared" si="0"/>
        <v>13985969.2</v>
      </c>
    </row>
    <row r="47" spans="1:13" ht="16.5">
      <c r="A47" s="59" t="s">
        <v>449</v>
      </c>
      <c r="B47" s="60" t="s">
        <v>706</v>
      </c>
      <c r="C47" s="61">
        <f>1876213+416604+120000+14000</f>
        <v>2426817</v>
      </c>
      <c r="D47" s="61">
        <f>1337600+305652</f>
        <v>1643252</v>
      </c>
      <c r="E47" s="61">
        <f>28120+14000</f>
        <v>42120</v>
      </c>
      <c r="F47" s="61">
        <v>0</v>
      </c>
      <c r="G47" s="61">
        <v>0</v>
      </c>
      <c r="H47" s="61">
        <v>0</v>
      </c>
      <c r="I47" s="61">
        <v>0</v>
      </c>
      <c r="J47" s="61">
        <v>0</v>
      </c>
      <c r="K47" s="61">
        <v>0</v>
      </c>
      <c r="L47" s="61"/>
      <c r="M47" s="62">
        <f t="shared" si="0"/>
        <v>2426817</v>
      </c>
    </row>
    <row r="48" spans="1:13" ht="33">
      <c r="A48" s="59" t="s">
        <v>464</v>
      </c>
      <c r="B48" s="60" t="s">
        <v>321</v>
      </c>
      <c r="C48" s="61">
        <f>4120004+1908800+8000</f>
        <v>6036804</v>
      </c>
      <c r="D48" s="61">
        <f>2982240+1478000</f>
        <v>4460240</v>
      </c>
      <c r="E48" s="61">
        <f>38380+8000</f>
        <v>46380</v>
      </c>
      <c r="F48" s="61">
        <v>0</v>
      </c>
      <c r="G48" s="61">
        <v>0</v>
      </c>
      <c r="H48" s="61">
        <v>0</v>
      </c>
      <c r="I48" s="61">
        <v>0</v>
      </c>
      <c r="J48" s="61">
        <v>0</v>
      </c>
      <c r="K48" s="61">
        <v>0</v>
      </c>
      <c r="L48" s="61"/>
      <c r="M48" s="62">
        <f t="shared" si="0"/>
        <v>6036804</v>
      </c>
    </row>
    <row r="49" spans="1:13" ht="49.5">
      <c r="A49" s="59" t="s">
        <v>465</v>
      </c>
      <c r="B49" s="60" t="s">
        <v>541</v>
      </c>
      <c r="C49" s="61">
        <f>259399-120000</f>
        <v>139399</v>
      </c>
      <c r="D49" s="61">
        <v>0</v>
      </c>
      <c r="E49" s="61">
        <v>0</v>
      </c>
      <c r="F49" s="61">
        <v>0</v>
      </c>
      <c r="G49" s="61">
        <v>0</v>
      </c>
      <c r="H49" s="61">
        <v>0</v>
      </c>
      <c r="I49" s="61">
        <v>0</v>
      </c>
      <c r="J49" s="61">
        <v>0</v>
      </c>
      <c r="K49" s="61">
        <v>0</v>
      </c>
      <c r="L49" s="61"/>
      <c r="M49" s="62">
        <f t="shared" si="0"/>
        <v>139399</v>
      </c>
    </row>
    <row r="50" spans="1:13" ht="33">
      <c r="A50" s="59" t="s">
        <v>466</v>
      </c>
      <c r="B50" s="60" t="s">
        <v>36</v>
      </c>
      <c r="C50" s="61">
        <f>3065214+1614500</f>
        <v>4679714</v>
      </c>
      <c r="D50" s="61">
        <f>2047440+1187300</f>
        <v>3234740</v>
      </c>
      <c r="E50" s="61">
        <v>240540</v>
      </c>
      <c r="F50" s="61">
        <v>83600</v>
      </c>
      <c r="G50" s="61">
        <v>83600</v>
      </c>
      <c r="H50" s="61">
        <v>0</v>
      </c>
      <c r="I50" s="61">
        <v>24700</v>
      </c>
      <c r="J50" s="61">
        <v>0</v>
      </c>
      <c r="K50" s="61">
        <v>0</v>
      </c>
      <c r="L50" s="61"/>
      <c r="M50" s="62">
        <f t="shared" si="0"/>
        <v>4763314</v>
      </c>
    </row>
    <row r="51" spans="1:13" ht="16.5">
      <c r="A51" s="59" t="s">
        <v>467</v>
      </c>
      <c r="B51" s="60" t="s">
        <v>640</v>
      </c>
      <c r="C51" s="61">
        <f>176320-24000</f>
        <v>152320</v>
      </c>
      <c r="D51" s="61">
        <v>0</v>
      </c>
      <c r="E51" s="61">
        <v>0</v>
      </c>
      <c r="F51" s="61">
        <v>0</v>
      </c>
      <c r="G51" s="61">
        <v>0</v>
      </c>
      <c r="H51" s="61">
        <v>0</v>
      </c>
      <c r="I51" s="61">
        <v>0</v>
      </c>
      <c r="J51" s="61">
        <v>0</v>
      </c>
      <c r="K51" s="61">
        <v>0</v>
      </c>
      <c r="L51" s="61"/>
      <c r="M51" s="62">
        <f t="shared" si="0"/>
        <v>152320</v>
      </c>
    </row>
    <row r="52" spans="1:13" ht="107.25" customHeight="1">
      <c r="A52" s="59" t="s">
        <v>460</v>
      </c>
      <c r="B52" s="60" t="s">
        <v>291</v>
      </c>
      <c r="C52" s="61">
        <f>380000-380000</f>
        <v>0</v>
      </c>
      <c r="D52" s="61">
        <v>0</v>
      </c>
      <c r="E52" s="61">
        <v>0</v>
      </c>
      <c r="F52" s="61">
        <v>0</v>
      </c>
      <c r="G52" s="61">
        <v>0</v>
      </c>
      <c r="H52" s="61">
        <v>0</v>
      </c>
      <c r="I52" s="61">
        <v>0</v>
      </c>
      <c r="J52" s="61">
        <v>0</v>
      </c>
      <c r="K52" s="61">
        <v>0</v>
      </c>
      <c r="L52" s="61"/>
      <c r="M52" s="62">
        <f t="shared" si="0"/>
        <v>0</v>
      </c>
    </row>
    <row r="53" spans="1:13" ht="49.5">
      <c r="A53" s="59" t="s">
        <v>450</v>
      </c>
      <c r="B53" s="60" t="s">
        <v>409</v>
      </c>
      <c r="C53" s="61">
        <f>SUM(C54+C55)</f>
        <v>244355.2</v>
      </c>
      <c r="D53" s="61">
        <v>0</v>
      </c>
      <c r="E53" s="61">
        <v>0</v>
      </c>
      <c r="F53" s="61">
        <v>0</v>
      </c>
      <c r="G53" s="61">
        <v>0</v>
      </c>
      <c r="H53" s="61">
        <v>0</v>
      </c>
      <c r="I53" s="61">
        <v>0</v>
      </c>
      <c r="J53" s="61">
        <v>0</v>
      </c>
      <c r="K53" s="61">
        <v>0</v>
      </c>
      <c r="L53" s="61"/>
      <c r="M53" s="62">
        <f t="shared" si="0"/>
        <v>244355.2</v>
      </c>
    </row>
    <row r="54" spans="1:13" ht="33">
      <c r="A54" s="59"/>
      <c r="B54" s="60" t="s">
        <v>670</v>
      </c>
      <c r="C54" s="61">
        <f>345420-105500</f>
        <v>239920</v>
      </c>
      <c r="D54" s="61"/>
      <c r="E54" s="61"/>
      <c r="F54" s="61"/>
      <c r="G54" s="61"/>
      <c r="H54" s="61"/>
      <c r="I54" s="61"/>
      <c r="J54" s="61"/>
      <c r="K54" s="61"/>
      <c r="L54" s="61"/>
      <c r="M54" s="62">
        <v>345420</v>
      </c>
    </row>
    <row r="55" spans="1:13" ht="114" customHeight="1">
      <c r="A55" s="59"/>
      <c r="B55" s="60" t="s">
        <v>76</v>
      </c>
      <c r="C55" s="61">
        <v>4435.2</v>
      </c>
      <c r="D55" s="61"/>
      <c r="E55" s="61"/>
      <c r="F55" s="61"/>
      <c r="G55" s="61"/>
      <c r="H55" s="61"/>
      <c r="I55" s="61"/>
      <c r="J55" s="61"/>
      <c r="K55" s="61"/>
      <c r="L55" s="61"/>
      <c r="M55" s="62">
        <f t="shared" si="0"/>
        <v>4435.2</v>
      </c>
    </row>
    <row r="56" spans="1:13" ht="66">
      <c r="A56" s="59" t="s">
        <v>451</v>
      </c>
      <c r="B56" s="60" t="s">
        <v>762</v>
      </c>
      <c r="C56" s="61">
        <v>0</v>
      </c>
      <c r="D56" s="61">
        <v>0</v>
      </c>
      <c r="E56" s="61">
        <v>0</v>
      </c>
      <c r="F56" s="61">
        <f>SUM(F57)</f>
        <v>187460</v>
      </c>
      <c r="G56" s="61">
        <f>SUM(G57)</f>
        <v>187460</v>
      </c>
      <c r="H56" s="61">
        <v>0</v>
      </c>
      <c r="I56" s="61">
        <v>0</v>
      </c>
      <c r="J56" s="61">
        <v>0</v>
      </c>
      <c r="K56" s="61">
        <v>0</v>
      </c>
      <c r="L56" s="61"/>
      <c r="M56" s="62">
        <f t="shared" si="0"/>
        <v>187460</v>
      </c>
    </row>
    <row r="57" spans="1:13" ht="33">
      <c r="A57" s="70"/>
      <c r="B57" s="60" t="s">
        <v>739</v>
      </c>
      <c r="C57" s="61"/>
      <c r="D57" s="61"/>
      <c r="E57" s="61"/>
      <c r="F57" s="61">
        <f>SUM(G57)</f>
        <v>187460</v>
      </c>
      <c r="G57" s="61">
        <f>177460+10000</f>
        <v>187460</v>
      </c>
      <c r="H57" s="61"/>
      <c r="I57" s="61"/>
      <c r="J57" s="61"/>
      <c r="K57" s="61"/>
      <c r="L57" s="61"/>
      <c r="M57" s="62">
        <f>SUM(F57)</f>
        <v>187460</v>
      </c>
    </row>
    <row r="58" spans="1:13" ht="33">
      <c r="A58" s="101">
        <v>250404</v>
      </c>
      <c r="B58" s="60" t="s">
        <v>484</v>
      </c>
      <c r="C58" s="61">
        <v>35500</v>
      </c>
      <c r="D58" s="61"/>
      <c r="E58" s="61">
        <v>35500</v>
      </c>
      <c r="F58" s="61"/>
      <c r="G58" s="61"/>
      <c r="H58" s="61"/>
      <c r="I58" s="61"/>
      <c r="J58" s="61"/>
      <c r="K58" s="61"/>
      <c r="L58" s="61"/>
      <c r="M58" s="62">
        <f>SUM(C58)</f>
        <v>35500</v>
      </c>
    </row>
    <row r="59" spans="1:13" ht="49.5">
      <c r="A59" s="56">
        <v>13</v>
      </c>
      <c r="B59" s="57" t="s">
        <v>408</v>
      </c>
      <c r="C59" s="58">
        <f>SUM(C60+C61+C64+C65+C67+C72)</f>
        <v>16440692.2</v>
      </c>
      <c r="D59" s="58">
        <f>SUM(D60+D64)</f>
        <v>6515479</v>
      </c>
      <c r="E59" s="58">
        <f>SUM(E60+E64+E72)</f>
        <v>484538</v>
      </c>
      <c r="F59" s="58">
        <f>SUM(F66+F69+F71)</f>
        <v>12139212</v>
      </c>
      <c r="G59" s="58">
        <f>SUM(G69)</f>
        <v>675512</v>
      </c>
      <c r="H59" s="58">
        <v>0</v>
      </c>
      <c r="I59" s="58">
        <v>0</v>
      </c>
      <c r="J59" s="58">
        <f>SUM(J66+J69+J71)</f>
        <v>11463700</v>
      </c>
      <c r="K59" s="58">
        <f>SUM(K66+K71)</f>
        <v>11450400</v>
      </c>
      <c r="L59" s="58">
        <f>SUM(L71)</f>
        <v>8000000</v>
      </c>
      <c r="M59" s="58">
        <f t="shared" si="0"/>
        <v>28579904.2</v>
      </c>
    </row>
    <row r="60" spans="1:13" ht="16.5">
      <c r="A60" s="59" t="s">
        <v>449</v>
      </c>
      <c r="B60" s="60" t="s">
        <v>706</v>
      </c>
      <c r="C60" s="61">
        <f>1388377+355714</f>
        <v>1744091</v>
      </c>
      <c r="D60" s="61">
        <f>973180+260979</f>
        <v>1234159</v>
      </c>
      <c r="E60" s="61">
        <v>34580</v>
      </c>
      <c r="F60" s="61">
        <v>0</v>
      </c>
      <c r="G60" s="61">
        <v>0</v>
      </c>
      <c r="H60" s="61">
        <v>0</v>
      </c>
      <c r="I60" s="61">
        <v>0</v>
      </c>
      <c r="J60" s="61">
        <v>0</v>
      </c>
      <c r="K60" s="61">
        <v>0</v>
      </c>
      <c r="L60" s="61"/>
      <c r="M60" s="62">
        <f t="shared" si="0"/>
        <v>1744091</v>
      </c>
    </row>
    <row r="61" spans="1:13" ht="33">
      <c r="A61" s="59" t="s">
        <v>468</v>
      </c>
      <c r="B61" s="60" t="s">
        <v>764</v>
      </c>
      <c r="C61" s="61">
        <f>SUM(C62:C63)</f>
        <v>4335445</v>
      </c>
      <c r="D61" s="61">
        <v>0</v>
      </c>
      <c r="E61" s="61">
        <v>0</v>
      </c>
      <c r="F61" s="61">
        <v>0</v>
      </c>
      <c r="G61" s="61">
        <v>0</v>
      </c>
      <c r="H61" s="61">
        <v>0</v>
      </c>
      <c r="I61" s="61">
        <v>0</v>
      </c>
      <c r="J61" s="61">
        <v>0</v>
      </c>
      <c r="K61" s="61">
        <v>0</v>
      </c>
      <c r="L61" s="61"/>
      <c r="M61" s="62">
        <f t="shared" si="0"/>
        <v>4335445</v>
      </c>
    </row>
    <row r="62" spans="1:13" ht="16.5">
      <c r="A62" s="59"/>
      <c r="B62" s="60" t="s">
        <v>703</v>
      </c>
      <c r="C62" s="61">
        <f>3576940+168049</f>
        <v>3744989</v>
      </c>
      <c r="D62" s="61"/>
      <c r="E62" s="61"/>
      <c r="F62" s="61"/>
      <c r="G62" s="61"/>
      <c r="H62" s="61"/>
      <c r="I62" s="61"/>
      <c r="J62" s="61"/>
      <c r="K62" s="61"/>
      <c r="L62" s="61"/>
      <c r="M62" s="62">
        <f>SUM(C62)</f>
        <v>3744989</v>
      </c>
    </row>
    <row r="63" spans="1:13" ht="16.5">
      <c r="A63" s="59"/>
      <c r="B63" s="60" t="s">
        <v>37</v>
      </c>
      <c r="C63" s="61">
        <v>590456</v>
      </c>
      <c r="D63" s="61"/>
      <c r="E63" s="61"/>
      <c r="F63" s="61"/>
      <c r="G63" s="61"/>
      <c r="H63" s="61"/>
      <c r="I63" s="61"/>
      <c r="J63" s="61"/>
      <c r="K63" s="61"/>
      <c r="L63" s="61"/>
      <c r="M63" s="62">
        <f>SUM(C63)</f>
        <v>590456</v>
      </c>
    </row>
    <row r="64" spans="1:13" ht="33">
      <c r="A64" s="59" t="s">
        <v>461</v>
      </c>
      <c r="B64" s="60" t="s">
        <v>740</v>
      </c>
      <c r="C64" s="61">
        <f>4731892+3011400</f>
        <v>7743292</v>
      </c>
      <c r="D64" s="61">
        <f>3071920+2209400</f>
        <v>5281320</v>
      </c>
      <c r="E64" s="61">
        <f>402420+47500</f>
        <v>449920</v>
      </c>
      <c r="F64" s="61">
        <v>0</v>
      </c>
      <c r="G64" s="61">
        <v>0</v>
      </c>
      <c r="H64" s="61">
        <v>0</v>
      </c>
      <c r="I64" s="61">
        <v>0</v>
      </c>
      <c r="J64" s="61">
        <v>0</v>
      </c>
      <c r="K64" s="61">
        <v>0</v>
      </c>
      <c r="L64" s="61"/>
      <c r="M64" s="62">
        <f t="shared" si="0"/>
        <v>7743292</v>
      </c>
    </row>
    <row r="65" spans="1:13" ht="33">
      <c r="A65" s="59" t="s">
        <v>469</v>
      </c>
      <c r="B65" s="60" t="s">
        <v>446</v>
      </c>
      <c r="C65" s="61">
        <f>2585900+27491</f>
        <v>2613391</v>
      </c>
      <c r="D65" s="61">
        <v>0</v>
      </c>
      <c r="E65" s="61">
        <v>0</v>
      </c>
      <c r="F65" s="61">
        <v>0</v>
      </c>
      <c r="G65" s="61">
        <v>0</v>
      </c>
      <c r="H65" s="61">
        <v>0</v>
      </c>
      <c r="I65" s="61">
        <v>0</v>
      </c>
      <c r="J65" s="61">
        <v>0</v>
      </c>
      <c r="K65" s="61">
        <v>0</v>
      </c>
      <c r="L65" s="61"/>
      <c r="M65" s="62">
        <f t="shared" si="0"/>
        <v>2613391</v>
      </c>
    </row>
    <row r="66" spans="1:13" ht="16.5">
      <c r="A66" s="59" t="s">
        <v>584</v>
      </c>
      <c r="B66" s="60" t="s">
        <v>598</v>
      </c>
      <c r="C66" s="61">
        <v>0</v>
      </c>
      <c r="D66" s="61">
        <v>0</v>
      </c>
      <c r="E66" s="61">
        <v>0</v>
      </c>
      <c r="F66" s="61">
        <v>3450400</v>
      </c>
      <c r="G66" s="61">
        <v>0</v>
      </c>
      <c r="H66" s="61">
        <v>0</v>
      </c>
      <c r="I66" s="61">
        <v>0</v>
      </c>
      <c r="J66" s="61">
        <v>3450400</v>
      </c>
      <c r="K66" s="61">
        <v>3450400</v>
      </c>
      <c r="L66" s="61"/>
      <c r="M66" s="62">
        <f t="shared" si="0"/>
        <v>3450400</v>
      </c>
    </row>
    <row r="67" spans="1:13" ht="44.25" customHeight="1">
      <c r="A67" s="74">
        <v>180410</v>
      </c>
      <c r="B67" s="60" t="s">
        <v>322</v>
      </c>
      <c r="C67" s="61">
        <f>SUM(C68)</f>
        <v>4435.2</v>
      </c>
      <c r="D67" s="61"/>
      <c r="E67" s="61"/>
      <c r="F67" s="61"/>
      <c r="G67" s="61"/>
      <c r="H67" s="61"/>
      <c r="I67" s="61"/>
      <c r="J67" s="61"/>
      <c r="K67" s="61"/>
      <c r="L67" s="61"/>
      <c r="M67" s="62">
        <f>SUM(M68)</f>
        <v>4435.2</v>
      </c>
    </row>
    <row r="68" spans="1:13" ht="111.75" customHeight="1">
      <c r="A68" s="74"/>
      <c r="B68" s="60" t="s">
        <v>76</v>
      </c>
      <c r="C68" s="61">
        <v>4435.2</v>
      </c>
      <c r="D68" s="61"/>
      <c r="E68" s="61"/>
      <c r="F68" s="61"/>
      <c r="G68" s="61"/>
      <c r="H68" s="61"/>
      <c r="I68" s="61"/>
      <c r="J68" s="61"/>
      <c r="K68" s="61"/>
      <c r="L68" s="61"/>
      <c r="M68" s="62">
        <f t="shared" si="0"/>
        <v>4435.2</v>
      </c>
    </row>
    <row r="69" spans="1:13" ht="66">
      <c r="A69" s="59" t="s">
        <v>451</v>
      </c>
      <c r="B69" s="60" t="s">
        <v>762</v>
      </c>
      <c r="C69" s="61">
        <v>0</v>
      </c>
      <c r="D69" s="61">
        <v>0</v>
      </c>
      <c r="E69" s="61">
        <v>0</v>
      </c>
      <c r="F69" s="61">
        <f>SUM(F70)</f>
        <v>688812</v>
      </c>
      <c r="G69" s="61">
        <f>SUM(G70)</f>
        <v>675512</v>
      </c>
      <c r="H69" s="61">
        <v>0</v>
      </c>
      <c r="I69" s="61">
        <v>0</v>
      </c>
      <c r="J69" s="61">
        <v>13300</v>
      </c>
      <c r="K69" s="61">
        <v>0</v>
      </c>
      <c r="L69" s="61"/>
      <c r="M69" s="62">
        <f t="shared" si="0"/>
        <v>688812</v>
      </c>
    </row>
    <row r="70" spans="1:13" ht="33">
      <c r="A70" s="70"/>
      <c r="B70" s="60" t="s">
        <v>739</v>
      </c>
      <c r="C70" s="61"/>
      <c r="D70" s="61"/>
      <c r="E70" s="61"/>
      <c r="F70" s="61">
        <f>SUM(G70+J70)</f>
        <v>688812</v>
      </c>
      <c r="G70" s="61">
        <f>645320+30192</f>
        <v>675512</v>
      </c>
      <c r="H70" s="61">
        <v>0</v>
      </c>
      <c r="I70" s="61">
        <v>0</v>
      </c>
      <c r="J70" s="61">
        <v>13300</v>
      </c>
      <c r="K70" s="61"/>
      <c r="L70" s="61"/>
      <c r="M70" s="62">
        <f>SUM(F70)</f>
        <v>688812</v>
      </c>
    </row>
    <row r="71" spans="1:13" ht="157.5">
      <c r="A71" s="101">
        <v>250359</v>
      </c>
      <c r="B71" s="429" t="s">
        <v>81</v>
      </c>
      <c r="C71" s="61"/>
      <c r="D71" s="61"/>
      <c r="E71" s="61"/>
      <c r="F71" s="61">
        <f>G71+J71</f>
        <v>8000000</v>
      </c>
      <c r="G71" s="61"/>
      <c r="H71" s="61"/>
      <c r="I71" s="61"/>
      <c r="J71" s="61">
        <v>8000000</v>
      </c>
      <c r="K71" s="61">
        <v>8000000</v>
      </c>
      <c r="L71" s="61">
        <v>8000000</v>
      </c>
      <c r="M71" s="62">
        <f>SUM(F71)</f>
        <v>8000000</v>
      </c>
    </row>
    <row r="72" spans="1:13" ht="33">
      <c r="A72" s="101">
        <v>250404</v>
      </c>
      <c r="B72" s="60" t="s">
        <v>484</v>
      </c>
      <c r="C72" s="61">
        <v>38</v>
      </c>
      <c r="D72" s="61"/>
      <c r="E72" s="61">
        <v>38</v>
      </c>
      <c r="F72" s="61"/>
      <c r="G72" s="61"/>
      <c r="H72" s="61"/>
      <c r="I72" s="61"/>
      <c r="J72" s="61"/>
      <c r="K72" s="61"/>
      <c r="L72" s="61"/>
      <c r="M72" s="62">
        <f>SUM(C72)</f>
        <v>38</v>
      </c>
    </row>
    <row r="73" spans="1:13" ht="33">
      <c r="A73" s="56">
        <v>14</v>
      </c>
      <c r="B73" s="57" t="s">
        <v>630</v>
      </c>
      <c r="C73" s="58">
        <f>SUM(C74+C75+C99+C96+C102)</f>
        <v>607774840.1899999</v>
      </c>
      <c r="D73" s="58">
        <f>SUM(D74+D75+D99)</f>
        <v>353469809</v>
      </c>
      <c r="E73" s="58">
        <f>E74+E75+E102</f>
        <v>22652449.39</v>
      </c>
      <c r="F73" s="58">
        <f>F74+F75+F94+F100</f>
        <v>28005766</v>
      </c>
      <c r="G73" s="58">
        <f>G74+G75+G100</f>
        <v>21268096</v>
      </c>
      <c r="H73" s="58">
        <v>5385249</v>
      </c>
      <c r="I73" s="58">
        <v>1065243</v>
      </c>
      <c r="J73" s="58">
        <f>J75+J94</f>
        <v>6737670</v>
      </c>
      <c r="K73" s="58">
        <f>K75+K94</f>
        <v>5735568</v>
      </c>
      <c r="L73" s="58"/>
      <c r="M73" s="58">
        <f t="shared" si="0"/>
        <v>635780606.1899999</v>
      </c>
    </row>
    <row r="74" spans="1:13" ht="16.5">
      <c r="A74" s="59" t="s">
        <v>449</v>
      </c>
      <c r="B74" s="60" t="s">
        <v>706</v>
      </c>
      <c r="C74" s="61">
        <f>2134841+375903+25000</f>
        <v>2535744</v>
      </c>
      <c r="D74" s="61">
        <f>1483140+275791</f>
        <v>1758931</v>
      </c>
      <c r="E74" s="61">
        <v>94241</v>
      </c>
      <c r="F74" s="61">
        <v>0</v>
      </c>
      <c r="G74" s="61">
        <v>0</v>
      </c>
      <c r="H74" s="61">
        <v>0</v>
      </c>
      <c r="I74" s="61">
        <v>0</v>
      </c>
      <c r="J74" s="61">
        <v>0</v>
      </c>
      <c r="K74" s="61">
        <v>0</v>
      </c>
      <c r="L74" s="61"/>
      <c r="M74" s="62">
        <f t="shared" si="0"/>
        <v>2535744</v>
      </c>
    </row>
    <row r="75" spans="1:13" ht="16.5">
      <c r="A75" s="66" t="s">
        <v>470</v>
      </c>
      <c r="B75" s="60" t="s">
        <v>735</v>
      </c>
      <c r="C75" s="67">
        <f>SUM(C76+C78+C80+C82+C83+C84+C87+C88+C90+C91+C92+C93)</f>
        <v>604997669</v>
      </c>
      <c r="D75" s="67">
        <f>SUM(D76+D78+D80+D82+D83+D84+D87+D88+D90+D91+D93)</f>
        <v>351710878</v>
      </c>
      <c r="E75" s="67">
        <f>SUM(E76+E78+E80+E82+E83+E84+E87+E88+E90+E91+E93)</f>
        <v>22418098</v>
      </c>
      <c r="F75" s="67">
        <v>19998982</v>
      </c>
      <c r="G75" s="67">
        <v>16657600</v>
      </c>
      <c r="H75" s="67">
        <v>5385249</v>
      </c>
      <c r="I75" s="67">
        <v>1065243</v>
      </c>
      <c r="J75" s="67">
        <f>SUM(J76+J78+J80+J84)</f>
        <v>3341382</v>
      </c>
      <c r="K75" s="67">
        <f>K80</f>
        <v>2339280</v>
      </c>
      <c r="L75" s="67"/>
      <c r="M75" s="68">
        <f t="shared" si="0"/>
        <v>624996651</v>
      </c>
    </row>
    <row r="76" spans="1:13" ht="16.5">
      <c r="A76" s="59" t="s">
        <v>471</v>
      </c>
      <c r="B76" s="60" t="s">
        <v>279</v>
      </c>
      <c r="C76" s="61">
        <f>140571120+51337400-7014700+78953000+60000-2701813-375700+1816846</f>
        <v>262646153</v>
      </c>
      <c r="D76" s="61">
        <f>88934820-300000-5150294+58116300</f>
        <v>141600826</v>
      </c>
      <c r="E76" s="61">
        <v>11813820</v>
      </c>
      <c r="F76" s="61">
        <v>8359240</v>
      </c>
      <c r="G76" s="61">
        <v>8065458</v>
      </c>
      <c r="H76" s="61">
        <v>2953249</v>
      </c>
      <c r="I76" s="61">
        <v>528683</v>
      </c>
      <c r="J76" s="61">
        <v>293782</v>
      </c>
      <c r="K76" s="61">
        <v>0</v>
      </c>
      <c r="L76" s="61"/>
      <c r="M76" s="62">
        <f t="shared" si="0"/>
        <v>271005393</v>
      </c>
    </row>
    <row r="77" spans="1:13" ht="66">
      <c r="A77" s="59"/>
      <c r="B77" s="71" t="s">
        <v>750</v>
      </c>
      <c r="C77" s="61">
        <f>51337400-375700</f>
        <v>50961700</v>
      </c>
      <c r="D77" s="61"/>
      <c r="E77" s="61"/>
      <c r="F77" s="61"/>
      <c r="G77" s="61"/>
      <c r="H77" s="61"/>
      <c r="I77" s="61"/>
      <c r="J77" s="61"/>
      <c r="K77" s="61"/>
      <c r="L77" s="61"/>
      <c r="M77" s="62">
        <f t="shared" si="0"/>
        <v>50961700</v>
      </c>
    </row>
    <row r="78" spans="1:13" ht="16.5">
      <c r="A78" s="59" t="s">
        <v>472</v>
      </c>
      <c r="B78" s="60" t="s">
        <v>585</v>
      </c>
      <c r="C78" s="61">
        <f>63563741+7174700+14276100+44375200-375187+812400</f>
        <v>129826954</v>
      </c>
      <c r="D78" s="61">
        <f>42258280+5263903+32630000</f>
        <v>80152183</v>
      </c>
      <c r="E78" s="61">
        <v>4535300</v>
      </c>
      <c r="F78" s="61">
        <v>6334600</v>
      </c>
      <c r="G78" s="61">
        <v>5764600</v>
      </c>
      <c r="H78" s="61">
        <v>1520000</v>
      </c>
      <c r="I78" s="61">
        <v>95000</v>
      </c>
      <c r="J78" s="61">
        <v>570000</v>
      </c>
      <c r="K78" s="61">
        <v>0</v>
      </c>
      <c r="L78" s="61"/>
      <c r="M78" s="62">
        <f t="shared" si="0"/>
        <v>136161554</v>
      </c>
    </row>
    <row r="79" spans="1:13" ht="66">
      <c r="A79" s="59"/>
      <c r="B79" s="71" t="s">
        <v>750</v>
      </c>
      <c r="C79" s="61">
        <v>14276100</v>
      </c>
      <c r="D79" s="61"/>
      <c r="E79" s="61"/>
      <c r="F79" s="61"/>
      <c r="G79" s="61"/>
      <c r="H79" s="61"/>
      <c r="I79" s="61"/>
      <c r="J79" s="61"/>
      <c r="K79" s="61"/>
      <c r="L79" s="61"/>
      <c r="M79" s="62">
        <f t="shared" si="0"/>
        <v>14276100</v>
      </c>
    </row>
    <row r="80" spans="1:13" ht="16.5">
      <c r="A80" s="59" t="s">
        <v>473</v>
      </c>
      <c r="B80" s="72" t="s">
        <v>651</v>
      </c>
      <c r="C80" s="61">
        <f>38194940+10406300+26071493+156600</f>
        <v>74829333</v>
      </c>
      <c r="D80" s="61">
        <f>24917360+19156133</f>
        <v>44073493</v>
      </c>
      <c r="E80" s="61">
        <v>3609620</v>
      </c>
      <c r="F80" s="61">
        <v>3099280</v>
      </c>
      <c r="G80" s="61">
        <v>760000</v>
      </c>
      <c r="H80" s="61">
        <v>380000</v>
      </c>
      <c r="I80" s="61">
        <v>41800</v>
      </c>
      <c r="J80" s="61">
        <v>2339280</v>
      </c>
      <c r="K80" s="61">
        <v>2339280</v>
      </c>
      <c r="L80" s="61"/>
      <c r="M80" s="62">
        <f t="shared" si="0"/>
        <v>77928613</v>
      </c>
    </row>
    <row r="81" spans="1:13" ht="66">
      <c r="A81" s="59"/>
      <c r="B81" s="71" t="s">
        <v>750</v>
      </c>
      <c r="C81" s="61">
        <v>10406300</v>
      </c>
      <c r="D81" s="61"/>
      <c r="E81" s="61"/>
      <c r="F81" s="61"/>
      <c r="G81" s="61"/>
      <c r="H81" s="61"/>
      <c r="I81" s="61"/>
      <c r="J81" s="61"/>
      <c r="K81" s="61"/>
      <c r="L81" s="61"/>
      <c r="M81" s="62">
        <f t="shared" si="0"/>
        <v>10406300</v>
      </c>
    </row>
    <row r="82" spans="1:13" ht="33">
      <c r="A82" s="59" t="s">
        <v>474</v>
      </c>
      <c r="B82" s="60" t="s">
        <v>737</v>
      </c>
      <c r="C82" s="61">
        <f>2514460+600000</f>
        <v>3114460</v>
      </c>
      <c r="D82" s="61">
        <v>0</v>
      </c>
      <c r="E82" s="61">
        <v>0</v>
      </c>
      <c r="F82" s="61">
        <v>0</v>
      </c>
      <c r="G82" s="61">
        <v>0</v>
      </c>
      <c r="H82" s="61">
        <v>0</v>
      </c>
      <c r="I82" s="61">
        <v>0</v>
      </c>
      <c r="J82" s="61">
        <v>0</v>
      </c>
      <c r="K82" s="61">
        <v>0</v>
      </c>
      <c r="L82" s="61"/>
      <c r="M82" s="62">
        <f t="shared" si="0"/>
        <v>3114460</v>
      </c>
    </row>
    <row r="83" spans="1:13" ht="33">
      <c r="A83" s="59" t="s">
        <v>475</v>
      </c>
      <c r="B83" s="60" t="s">
        <v>600</v>
      </c>
      <c r="C83" s="61">
        <f>780516+647200+10000</f>
        <v>1437716</v>
      </c>
      <c r="D83" s="61">
        <f>527440+474800</f>
        <v>1002240</v>
      </c>
      <c r="E83" s="61">
        <v>46356</v>
      </c>
      <c r="F83" s="61">
        <v>0</v>
      </c>
      <c r="G83" s="61">
        <v>0</v>
      </c>
      <c r="H83" s="61">
        <v>0</v>
      </c>
      <c r="I83" s="61">
        <v>0</v>
      </c>
      <c r="J83" s="61">
        <v>0</v>
      </c>
      <c r="K83" s="61">
        <v>0</v>
      </c>
      <c r="L83" s="61"/>
      <c r="M83" s="62">
        <f t="shared" si="0"/>
        <v>1437716</v>
      </c>
    </row>
    <row r="84" spans="1:13" ht="33">
      <c r="A84" s="59" t="s">
        <v>548</v>
      </c>
      <c r="B84" s="60" t="s">
        <v>280</v>
      </c>
      <c r="C84" s="61">
        <f>52092299-7174700+3669800+56259600-44360+1057110</f>
        <v>105859749</v>
      </c>
      <c r="D84" s="61">
        <f>33693459-5263903+41674000</f>
        <v>70103556</v>
      </c>
      <c r="E84" s="61">
        <v>1998420</v>
      </c>
      <c r="F84" s="61">
        <v>1237242</v>
      </c>
      <c r="G84" s="61">
        <v>1098922</v>
      </c>
      <c r="H84" s="61">
        <v>114000</v>
      </c>
      <c r="I84" s="61">
        <v>346560</v>
      </c>
      <c r="J84" s="61">
        <v>138320</v>
      </c>
      <c r="K84" s="61">
        <v>0</v>
      </c>
      <c r="L84" s="61"/>
      <c r="M84" s="62">
        <f>C84+F84</f>
        <v>107096991</v>
      </c>
    </row>
    <row r="85" spans="1:13" ht="82.5">
      <c r="A85" s="59"/>
      <c r="B85" s="71" t="s">
        <v>744</v>
      </c>
      <c r="C85" s="61">
        <v>1853260</v>
      </c>
      <c r="D85" s="61"/>
      <c r="E85" s="61"/>
      <c r="F85" s="61"/>
      <c r="G85" s="61"/>
      <c r="H85" s="61"/>
      <c r="I85" s="61"/>
      <c r="J85" s="61"/>
      <c r="K85" s="61"/>
      <c r="L85" s="61"/>
      <c r="M85" s="62">
        <f>SUM(C85)</f>
        <v>1853260</v>
      </c>
    </row>
    <row r="86" spans="1:13" ht="66">
      <c r="A86" s="59"/>
      <c r="B86" s="71" t="s">
        <v>750</v>
      </c>
      <c r="C86" s="61">
        <v>3669800</v>
      </c>
      <c r="D86" s="61"/>
      <c r="E86" s="61"/>
      <c r="F86" s="61"/>
      <c r="G86" s="61"/>
      <c r="H86" s="61"/>
      <c r="I86" s="61"/>
      <c r="J86" s="61"/>
      <c r="K86" s="61"/>
      <c r="L86" s="61"/>
      <c r="M86" s="62">
        <f>SUM(C86)</f>
        <v>3669800</v>
      </c>
    </row>
    <row r="87" spans="1:13" ht="33.75" customHeight="1">
      <c r="A87" s="59" t="s">
        <v>476</v>
      </c>
      <c r="B87" s="60" t="s">
        <v>361</v>
      </c>
      <c r="C87" s="61">
        <f>3482283+2229300+35000</f>
        <v>5746583</v>
      </c>
      <c r="D87" s="61">
        <f>1679980+1651300</f>
        <v>3331280</v>
      </c>
      <c r="E87" s="61">
        <v>111342</v>
      </c>
      <c r="F87" s="61">
        <v>0</v>
      </c>
      <c r="G87" s="61">
        <v>0</v>
      </c>
      <c r="H87" s="61">
        <v>0</v>
      </c>
      <c r="I87" s="61">
        <v>0</v>
      </c>
      <c r="J87" s="61">
        <v>0</v>
      </c>
      <c r="K87" s="61">
        <v>0</v>
      </c>
      <c r="L87" s="61"/>
      <c r="M87" s="62">
        <f aca="true" t="shared" si="1" ref="M87:M100">C87+F87</f>
        <v>5746583</v>
      </c>
    </row>
    <row r="88" spans="1:13" ht="89.25" customHeight="1">
      <c r="A88" s="59" t="s">
        <v>477</v>
      </c>
      <c r="B88" s="73" t="s">
        <v>576</v>
      </c>
      <c r="C88" s="61">
        <f>9026757+3796000+7988200+182200+50000-95000-25000</f>
        <v>20923157</v>
      </c>
      <c r="D88" s="61">
        <f>5447300+6000000</f>
        <v>11447300</v>
      </c>
      <c r="E88" s="61">
        <v>303240</v>
      </c>
      <c r="F88" s="61">
        <v>968620</v>
      </c>
      <c r="G88" s="61">
        <v>968620</v>
      </c>
      <c r="H88" s="61">
        <v>418000</v>
      </c>
      <c r="I88" s="61">
        <v>53200</v>
      </c>
      <c r="J88" s="61">
        <v>0</v>
      </c>
      <c r="K88" s="61">
        <v>0</v>
      </c>
      <c r="L88" s="61"/>
      <c r="M88" s="62">
        <f t="shared" si="1"/>
        <v>21891777</v>
      </c>
    </row>
    <row r="89" spans="1:13" ht="72" customHeight="1">
      <c r="A89" s="59"/>
      <c r="B89" s="71" t="s">
        <v>750</v>
      </c>
      <c r="C89" s="61">
        <v>3796000</v>
      </c>
      <c r="D89" s="61"/>
      <c r="E89" s="61"/>
      <c r="F89" s="61"/>
      <c r="G89" s="61"/>
      <c r="H89" s="61"/>
      <c r="I89" s="61"/>
      <c r="J89" s="61"/>
      <c r="K89" s="61"/>
      <c r="L89" s="61"/>
      <c r="M89" s="62">
        <f t="shared" si="1"/>
        <v>3796000</v>
      </c>
    </row>
    <row r="90" spans="1:13" ht="33">
      <c r="A90" s="59" t="s">
        <v>478</v>
      </c>
      <c r="B90" s="60" t="s">
        <v>442</v>
      </c>
      <c r="C90" s="61">
        <f>1435260-904154</f>
        <v>531106</v>
      </c>
      <c r="D90" s="61">
        <v>0</v>
      </c>
      <c r="E90" s="61">
        <v>0</v>
      </c>
      <c r="F90" s="61">
        <v>0</v>
      </c>
      <c r="G90" s="61">
        <v>0</v>
      </c>
      <c r="H90" s="61">
        <v>0</v>
      </c>
      <c r="I90" s="61">
        <v>0</v>
      </c>
      <c r="J90" s="61">
        <v>0</v>
      </c>
      <c r="K90" s="61">
        <v>0</v>
      </c>
      <c r="L90" s="61"/>
      <c r="M90" s="62">
        <f t="shared" si="1"/>
        <v>531106</v>
      </c>
    </row>
    <row r="91" spans="1:13" ht="33">
      <c r="A91" s="59" t="s">
        <v>479</v>
      </c>
      <c r="B91" s="60" t="s">
        <v>443</v>
      </c>
      <c r="C91" s="61">
        <f>105260-37000</f>
        <v>68260</v>
      </c>
      <c r="D91" s="61">
        <v>0</v>
      </c>
      <c r="E91" s="61">
        <v>0</v>
      </c>
      <c r="F91" s="61">
        <v>0</v>
      </c>
      <c r="G91" s="61">
        <v>0</v>
      </c>
      <c r="H91" s="61">
        <v>0</v>
      </c>
      <c r="I91" s="61">
        <v>0</v>
      </c>
      <c r="J91" s="61">
        <v>0</v>
      </c>
      <c r="K91" s="61">
        <v>0</v>
      </c>
      <c r="L91" s="61"/>
      <c r="M91" s="62">
        <f t="shared" si="1"/>
        <v>68260</v>
      </c>
    </row>
    <row r="92" spans="1:13" ht="49.5">
      <c r="A92" s="59" t="s">
        <v>480</v>
      </c>
      <c r="B92" s="73" t="s">
        <v>364</v>
      </c>
      <c r="C92" s="61">
        <f>121220-121220</f>
        <v>0</v>
      </c>
      <c r="D92" s="61">
        <v>0</v>
      </c>
      <c r="E92" s="61">
        <v>0</v>
      </c>
      <c r="F92" s="61">
        <v>0</v>
      </c>
      <c r="G92" s="61">
        <v>0</v>
      </c>
      <c r="H92" s="61">
        <v>0</v>
      </c>
      <c r="I92" s="61">
        <v>0</v>
      </c>
      <c r="J92" s="61">
        <v>0</v>
      </c>
      <c r="K92" s="61">
        <v>0</v>
      </c>
      <c r="L92" s="61"/>
      <c r="M92" s="62">
        <f t="shared" si="1"/>
        <v>0</v>
      </c>
    </row>
    <row r="93" spans="1:13" ht="33">
      <c r="A93" s="59" t="s">
        <v>394</v>
      </c>
      <c r="B93" s="60" t="s">
        <v>444</v>
      </c>
      <c r="C93" s="61">
        <f>379620-365422</f>
        <v>14198</v>
      </c>
      <c r="D93" s="61">
        <v>0</v>
      </c>
      <c r="E93" s="61">
        <v>0</v>
      </c>
      <c r="F93" s="61">
        <v>0</v>
      </c>
      <c r="G93" s="61">
        <v>0</v>
      </c>
      <c r="H93" s="61">
        <v>0</v>
      </c>
      <c r="I93" s="61">
        <v>0</v>
      </c>
      <c r="J93" s="61">
        <v>0</v>
      </c>
      <c r="K93" s="61">
        <v>0</v>
      </c>
      <c r="L93" s="61"/>
      <c r="M93" s="62">
        <f t="shared" si="1"/>
        <v>14198</v>
      </c>
    </row>
    <row r="94" spans="1:13" ht="16.5">
      <c r="A94" s="59" t="s">
        <v>584</v>
      </c>
      <c r="B94" s="60" t="s">
        <v>598</v>
      </c>
      <c r="C94" s="61">
        <v>0</v>
      </c>
      <c r="D94" s="61">
        <v>0</v>
      </c>
      <c r="E94" s="61">
        <v>0</v>
      </c>
      <c r="F94" s="61">
        <f>2852588+543700</f>
        <v>3396288</v>
      </c>
      <c r="G94" s="61">
        <v>0</v>
      </c>
      <c r="H94" s="61">
        <v>0</v>
      </c>
      <c r="I94" s="61">
        <v>0</v>
      </c>
      <c r="J94" s="61">
        <f>2852588+543700</f>
        <v>3396288</v>
      </c>
      <c r="K94" s="61">
        <f>2852588+543700</f>
        <v>3396288</v>
      </c>
      <c r="L94" s="61"/>
      <c r="M94" s="62">
        <f t="shared" si="1"/>
        <v>3396288</v>
      </c>
    </row>
    <row r="95" spans="1:13" ht="105.75" customHeight="1">
      <c r="A95" s="59"/>
      <c r="B95" s="60" t="s">
        <v>648</v>
      </c>
      <c r="C95" s="61"/>
      <c r="D95" s="61"/>
      <c r="E95" s="61"/>
      <c r="F95" s="61">
        <v>543700</v>
      </c>
      <c r="G95" s="61"/>
      <c r="H95" s="61"/>
      <c r="I95" s="61"/>
      <c r="J95" s="61">
        <v>543700</v>
      </c>
      <c r="K95" s="61">
        <v>543700</v>
      </c>
      <c r="L95" s="61"/>
      <c r="M95" s="62">
        <f>SUM(F95)</f>
        <v>543700</v>
      </c>
    </row>
    <row r="96" spans="1:13" ht="63.75" customHeight="1">
      <c r="A96" s="74">
        <v>180410</v>
      </c>
      <c r="B96" s="60" t="s">
        <v>322</v>
      </c>
      <c r="C96" s="61">
        <f>SUM(C97+C98)</f>
        <v>101316.8</v>
      </c>
      <c r="D96" s="61"/>
      <c r="E96" s="61"/>
      <c r="F96" s="61"/>
      <c r="G96" s="61"/>
      <c r="H96" s="61"/>
      <c r="I96" s="61"/>
      <c r="J96" s="61"/>
      <c r="K96" s="61"/>
      <c r="L96" s="61"/>
      <c r="M96" s="62">
        <f>SUM(C96)</f>
        <v>101316.8</v>
      </c>
    </row>
    <row r="97" spans="1:13" ht="107.25" customHeight="1">
      <c r="A97" s="74"/>
      <c r="B97" s="60" t="s">
        <v>648</v>
      </c>
      <c r="C97" s="61">
        <v>61400</v>
      </c>
      <c r="D97" s="61"/>
      <c r="E97" s="61"/>
      <c r="F97" s="61"/>
      <c r="G97" s="61"/>
      <c r="H97" s="61"/>
      <c r="I97" s="61"/>
      <c r="J97" s="61"/>
      <c r="K97" s="61"/>
      <c r="L97" s="61"/>
      <c r="M97" s="62">
        <f>SUM(C97)</f>
        <v>61400</v>
      </c>
    </row>
    <row r="98" spans="1:13" ht="107.25" customHeight="1">
      <c r="A98" s="74"/>
      <c r="B98" s="60" t="s">
        <v>76</v>
      </c>
      <c r="C98" s="61">
        <v>39916.8</v>
      </c>
      <c r="D98" s="61"/>
      <c r="E98" s="61"/>
      <c r="F98" s="61"/>
      <c r="G98" s="61"/>
      <c r="H98" s="61"/>
      <c r="I98" s="61"/>
      <c r="J98" s="61"/>
      <c r="K98" s="61"/>
      <c r="L98" s="61"/>
      <c r="M98" s="62">
        <f t="shared" si="1"/>
        <v>39916.8</v>
      </c>
    </row>
    <row r="99" spans="1:13" ht="33">
      <c r="A99" s="59" t="s">
        <v>462</v>
      </c>
      <c r="B99" s="75" t="s">
        <v>578</v>
      </c>
      <c r="C99" s="61">
        <f>76000-76000</f>
        <v>0</v>
      </c>
      <c r="D99" s="61">
        <v>0</v>
      </c>
      <c r="E99" s="61">
        <v>0</v>
      </c>
      <c r="F99" s="61">
        <v>0</v>
      </c>
      <c r="G99" s="61">
        <v>0</v>
      </c>
      <c r="H99" s="61">
        <v>0</v>
      </c>
      <c r="I99" s="61">
        <v>0</v>
      </c>
      <c r="J99" s="61">
        <v>0</v>
      </c>
      <c r="K99" s="61">
        <v>0</v>
      </c>
      <c r="L99" s="61"/>
      <c r="M99" s="62">
        <f t="shared" si="1"/>
        <v>0</v>
      </c>
    </row>
    <row r="100" spans="1:13" ht="66">
      <c r="A100" s="59" t="s">
        <v>451</v>
      </c>
      <c r="B100" s="60" t="s">
        <v>762</v>
      </c>
      <c r="C100" s="61">
        <v>0</v>
      </c>
      <c r="D100" s="61">
        <v>0</v>
      </c>
      <c r="E100" s="61">
        <v>0</v>
      </c>
      <c r="F100" s="61">
        <f>SUM(F101)</f>
        <v>4610496</v>
      </c>
      <c r="G100" s="61">
        <f>SUM(G101)</f>
        <v>4610496</v>
      </c>
      <c r="H100" s="61">
        <v>0</v>
      </c>
      <c r="I100" s="61">
        <v>0</v>
      </c>
      <c r="J100" s="61">
        <v>0</v>
      </c>
      <c r="K100" s="61">
        <v>0</v>
      </c>
      <c r="L100" s="61"/>
      <c r="M100" s="62">
        <f t="shared" si="1"/>
        <v>4610496</v>
      </c>
    </row>
    <row r="101" spans="1:13" ht="33">
      <c r="A101" s="70"/>
      <c r="B101" s="60" t="s">
        <v>739</v>
      </c>
      <c r="C101" s="61"/>
      <c r="D101" s="61"/>
      <c r="E101" s="61"/>
      <c r="F101" s="61">
        <f>SUM(G101)</f>
        <v>4610496</v>
      </c>
      <c r="G101" s="61">
        <f>4630687-20191</f>
        <v>4610496</v>
      </c>
      <c r="H101" s="61"/>
      <c r="I101" s="61"/>
      <c r="J101" s="61"/>
      <c r="K101" s="61"/>
      <c r="L101" s="61"/>
      <c r="M101" s="62">
        <f>SUM(F101)</f>
        <v>4610496</v>
      </c>
    </row>
    <row r="102" spans="1:13" ht="33">
      <c r="A102" s="101">
        <v>250404</v>
      </c>
      <c r="B102" s="60" t="s">
        <v>484</v>
      </c>
      <c r="C102" s="61">
        <v>140110.39</v>
      </c>
      <c r="D102" s="61"/>
      <c r="E102" s="61">
        <v>140110.39</v>
      </c>
      <c r="F102" s="61"/>
      <c r="G102" s="61"/>
      <c r="H102" s="61"/>
      <c r="I102" s="61"/>
      <c r="J102" s="61"/>
      <c r="K102" s="61"/>
      <c r="L102" s="61"/>
      <c r="M102" s="62">
        <f>SUM(C102)</f>
        <v>140110.39</v>
      </c>
    </row>
    <row r="103" spans="1:13" ht="49.5">
      <c r="A103" s="56">
        <v>15</v>
      </c>
      <c r="B103" s="57" t="s">
        <v>631</v>
      </c>
      <c r="C103" s="58">
        <f>C104+C105+C108+C111+C113+C116+C120+C123+C126+C128+C131+C134+C135+C138+C141+C143+C146+C149+C152+C155+C158+C161+C164+C167+C170+C173+C177+C179+C182+C183+C184+C185+C186+C190+C191+C194+C195+C196+C197+C200+C202+C205+C209</f>
        <v>604184984.4</v>
      </c>
      <c r="D103" s="58">
        <f>SUM(D104+D184)</f>
        <v>30630007</v>
      </c>
      <c r="E103" s="58">
        <f>SUM(E104+E184)</f>
        <v>684760</v>
      </c>
      <c r="F103" s="58">
        <f>SUM(F184+F207)</f>
        <v>1143057</v>
      </c>
      <c r="G103" s="58">
        <f>SUM(G184+G207)</f>
        <v>787757</v>
      </c>
      <c r="H103" s="58">
        <v>52820</v>
      </c>
      <c r="I103" s="58">
        <v>0</v>
      </c>
      <c r="J103" s="58">
        <f>SUM(J207)</f>
        <v>355300</v>
      </c>
      <c r="K103" s="58">
        <v>0</v>
      </c>
      <c r="L103" s="58"/>
      <c r="M103" s="58">
        <f>C103+F103</f>
        <v>605328041.4</v>
      </c>
    </row>
    <row r="104" spans="1:13" ht="16.5">
      <c r="A104" s="59" t="s">
        <v>449</v>
      </c>
      <c r="B104" s="60" t="s">
        <v>706</v>
      </c>
      <c r="C104" s="61">
        <f>15770708+3723780</f>
        <v>19494488</v>
      </c>
      <c r="D104" s="61">
        <f>11113860+2732047</f>
        <v>13845907</v>
      </c>
      <c r="E104" s="61">
        <v>398620</v>
      </c>
      <c r="F104" s="61">
        <v>0</v>
      </c>
      <c r="G104" s="61">
        <v>0</v>
      </c>
      <c r="H104" s="61">
        <v>0</v>
      </c>
      <c r="I104" s="61">
        <v>0</v>
      </c>
      <c r="J104" s="61">
        <v>0</v>
      </c>
      <c r="K104" s="61">
        <v>0</v>
      </c>
      <c r="L104" s="61"/>
      <c r="M104" s="62">
        <f>C104+F104</f>
        <v>19494488</v>
      </c>
    </row>
    <row r="105" spans="1:13" ht="33">
      <c r="A105" s="59" t="s">
        <v>395</v>
      </c>
      <c r="B105" s="60" t="s">
        <v>856</v>
      </c>
      <c r="C105" s="61">
        <f>SUM(C106:C107)</f>
        <v>8208000</v>
      </c>
      <c r="D105" s="61">
        <v>0</v>
      </c>
      <c r="E105" s="61">
        <v>0</v>
      </c>
      <c r="F105" s="61">
        <v>0</v>
      </c>
      <c r="G105" s="61">
        <v>0</v>
      </c>
      <c r="H105" s="61">
        <v>0</v>
      </c>
      <c r="I105" s="61">
        <v>0</v>
      </c>
      <c r="J105" s="61">
        <v>0</v>
      </c>
      <c r="K105" s="61">
        <v>0</v>
      </c>
      <c r="L105" s="61"/>
      <c r="M105" s="62">
        <f>C105+F105</f>
        <v>8208000</v>
      </c>
    </row>
    <row r="106" spans="1:13" ht="33">
      <c r="A106" s="59"/>
      <c r="B106" s="60" t="s">
        <v>587</v>
      </c>
      <c r="C106" s="61">
        <v>1760160</v>
      </c>
      <c r="D106" s="61"/>
      <c r="E106" s="61"/>
      <c r="F106" s="61"/>
      <c r="G106" s="61"/>
      <c r="H106" s="61"/>
      <c r="I106" s="61"/>
      <c r="J106" s="61"/>
      <c r="K106" s="61"/>
      <c r="L106" s="61"/>
      <c r="M106" s="62">
        <f>SUM(C106)</f>
        <v>1760160</v>
      </c>
    </row>
    <row r="107" spans="1:13" ht="16.5">
      <c r="A107" s="59"/>
      <c r="B107" s="60" t="s">
        <v>588</v>
      </c>
      <c r="C107" s="61">
        <v>6447840</v>
      </c>
      <c r="D107" s="61"/>
      <c r="E107" s="61"/>
      <c r="F107" s="61"/>
      <c r="G107" s="61"/>
      <c r="H107" s="61"/>
      <c r="I107" s="61"/>
      <c r="J107" s="61"/>
      <c r="K107" s="61"/>
      <c r="L107" s="61"/>
      <c r="M107" s="62">
        <f>SUM(C107)</f>
        <v>6447840</v>
      </c>
    </row>
    <row r="108" spans="1:13" ht="280.5">
      <c r="A108" s="59" t="s">
        <v>575</v>
      </c>
      <c r="B108" s="76" t="s">
        <v>304</v>
      </c>
      <c r="C108" s="61">
        <f>SUM(C109:C110)</f>
        <v>35869796</v>
      </c>
      <c r="D108" s="61">
        <v>0</v>
      </c>
      <c r="E108" s="61">
        <v>0</v>
      </c>
      <c r="F108" s="61">
        <v>0</v>
      </c>
      <c r="G108" s="61">
        <v>0</v>
      </c>
      <c r="H108" s="61">
        <v>0</v>
      </c>
      <c r="I108" s="61">
        <v>0</v>
      </c>
      <c r="J108" s="61">
        <v>0</v>
      </c>
      <c r="K108" s="61">
        <v>0</v>
      </c>
      <c r="L108" s="61"/>
      <c r="M108" s="62">
        <f>C108+F108</f>
        <v>35869796</v>
      </c>
    </row>
    <row r="109" spans="1:13" ht="33">
      <c r="A109" s="59"/>
      <c r="B109" s="60" t="s">
        <v>587</v>
      </c>
      <c r="C109" s="61">
        <v>6237434</v>
      </c>
      <c r="D109" s="61"/>
      <c r="E109" s="61"/>
      <c r="F109" s="61"/>
      <c r="G109" s="61"/>
      <c r="H109" s="61"/>
      <c r="I109" s="61"/>
      <c r="J109" s="61"/>
      <c r="K109" s="61"/>
      <c r="L109" s="61"/>
      <c r="M109" s="62">
        <f>SUM(C109)</f>
        <v>6237434</v>
      </c>
    </row>
    <row r="110" spans="1:13" ht="16.5">
      <c r="A110" s="59"/>
      <c r="B110" s="60" t="s">
        <v>588</v>
      </c>
      <c r="C110" s="61">
        <v>29632362</v>
      </c>
      <c r="D110" s="61"/>
      <c r="E110" s="61"/>
      <c r="F110" s="61"/>
      <c r="G110" s="61"/>
      <c r="H110" s="61"/>
      <c r="I110" s="61"/>
      <c r="J110" s="61"/>
      <c r="K110" s="61"/>
      <c r="L110" s="61"/>
      <c r="M110" s="62">
        <f>SUM(C110)</f>
        <v>29632362</v>
      </c>
    </row>
    <row r="111" spans="1:13" ht="161.25" customHeight="1">
      <c r="A111" s="59" t="s">
        <v>596</v>
      </c>
      <c r="B111" s="76" t="s">
        <v>75</v>
      </c>
      <c r="C111" s="61">
        <f>SUM(C112)</f>
        <v>19357.32</v>
      </c>
      <c r="D111" s="61">
        <v>0</v>
      </c>
      <c r="E111" s="61">
        <v>0</v>
      </c>
      <c r="F111" s="61">
        <v>0</v>
      </c>
      <c r="G111" s="61">
        <v>0</v>
      </c>
      <c r="H111" s="61">
        <v>0</v>
      </c>
      <c r="I111" s="61">
        <v>0</v>
      </c>
      <c r="J111" s="61">
        <v>0</v>
      </c>
      <c r="K111" s="61">
        <v>0</v>
      </c>
      <c r="L111" s="61"/>
      <c r="M111" s="62">
        <f>C111+F111</f>
        <v>19357.32</v>
      </c>
    </row>
    <row r="112" spans="1:13" ht="16.5">
      <c r="A112" s="59"/>
      <c r="B112" s="60" t="s">
        <v>588</v>
      </c>
      <c r="C112" s="61">
        <f>36936-714-16340-14792.61+14267.93</f>
        <v>19357.32</v>
      </c>
      <c r="D112" s="61"/>
      <c r="E112" s="61"/>
      <c r="F112" s="61"/>
      <c r="G112" s="61"/>
      <c r="H112" s="61"/>
      <c r="I112" s="61"/>
      <c r="J112" s="61"/>
      <c r="K112" s="61"/>
      <c r="L112" s="61"/>
      <c r="M112" s="62">
        <f>SUM(C112)</f>
        <v>19357.32</v>
      </c>
    </row>
    <row r="113" spans="1:13" ht="294" customHeight="1">
      <c r="A113" s="59" t="s">
        <v>298</v>
      </c>
      <c r="B113" s="76" t="s">
        <v>289</v>
      </c>
      <c r="C113" s="61">
        <f>SUM(C114:C115)</f>
        <v>702962</v>
      </c>
      <c r="D113" s="61">
        <v>0</v>
      </c>
      <c r="E113" s="61">
        <v>0</v>
      </c>
      <c r="F113" s="61">
        <v>0</v>
      </c>
      <c r="G113" s="61">
        <v>0</v>
      </c>
      <c r="H113" s="61">
        <v>0</v>
      </c>
      <c r="I113" s="61">
        <v>0</v>
      </c>
      <c r="J113" s="61">
        <v>0</v>
      </c>
      <c r="K113" s="61">
        <v>0</v>
      </c>
      <c r="L113" s="61"/>
      <c r="M113" s="62">
        <f>C113+F113</f>
        <v>702962</v>
      </c>
    </row>
    <row r="114" spans="1:13" ht="33">
      <c r="A114" s="59"/>
      <c r="B114" s="60" t="s">
        <v>587</v>
      </c>
      <c r="C114" s="61">
        <v>38228</v>
      </c>
      <c r="D114" s="61"/>
      <c r="E114" s="61"/>
      <c r="F114" s="61"/>
      <c r="G114" s="61"/>
      <c r="H114" s="61"/>
      <c r="I114" s="61"/>
      <c r="J114" s="61"/>
      <c r="K114" s="61"/>
      <c r="L114" s="61"/>
      <c r="M114" s="62">
        <f>SUM(C114)</f>
        <v>38228</v>
      </c>
    </row>
    <row r="115" spans="1:13" ht="16.5">
      <c r="A115" s="59"/>
      <c r="B115" s="60" t="s">
        <v>588</v>
      </c>
      <c r="C115" s="61">
        <v>664734</v>
      </c>
      <c r="D115" s="61"/>
      <c r="E115" s="61"/>
      <c r="F115" s="61"/>
      <c r="G115" s="61"/>
      <c r="H115" s="61"/>
      <c r="I115" s="61"/>
      <c r="J115" s="61"/>
      <c r="K115" s="61"/>
      <c r="L115" s="61"/>
      <c r="M115" s="62">
        <f>SUM(C115)</f>
        <v>664734</v>
      </c>
    </row>
    <row r="116" spans="1:13" ht="409.5">
      <c r="A116" s="59" t="s">
        <v>571</v>
      </c>
      <c r="B116" s="76" t="s">
        <v>121</v>
      </c>
      <c r="C116" s="61">
        <f>SUM(C118:C119)</f>
        <v>13152636</v>
      </c>
      <c r="D116" s="61">
        <v>0</v>
      </c>
      <c r="E116" s="61">
        <v>0</v>
      </c>
      <c r="F116" s="61">
        <v>0</v>
      </c>
      <c r="G116" s="61">
        <v>0</v>
      </c>
      <c r="H116" s="61">
        <v>0</v>
      </c>
      <c r="I116" s="61">
        <v>0</v>
      </c>
      <c r="J116" s="61">
        <v>0</v>
      </c>
      <c r="K116" s="61">
        <v>0</v>
      </c>
      <c r="L116" s="61"/>
      <c r="M116" s="62">
        <f>C116+F116</f>
        <v>13152636</v>
      </c>
    </row>
    <row r="117" spans="1:13" ht="313.5">
      <c r="A117" s="59"/>
      <c r="B117" s="76" t="s">
        <v>716</v>
      </c>
      <c r="C117" s="61"/>
      <c r="D117" s="61"/>
      <c r="E117" s="61"/>
      <c r="F117" s="61"/>
      <c r="G117" s="61"/>
      <c r="H117" s="61"/>
      <c r="I117" s="61"/>
      <c r="J117" s="61"/>
      <c r="K117" s="61"/>
      <c r="L117" s="61"/>
      <c r="M117" s="62"/>
    </row>
    <row r="118" spans="1:13" ht="33">
      <c r="A118" s="59"/>
      <c r="B118" s="60" t="s">
        <v>587</v>
      </c>
      <c r="C118" s="61">
        <v>1516352</v>
      </c>
      <c r="D118" s="61"/>
      <c r="E118" s="61"/>
      <c r="F118" s="61"/>
      <c r="G118" s="61"/>
      <c r="H118" s="61"/>
      <c r="I118" s="61"/>
      <c r="J118" s="61"/>
      <c r="K118" s="61"/>
      <c r="L118" s="61"/>
      <c r="M118" s="62">
        <f>SUM(C118)</f>
        <v>1516352</v>
      </c>
    </row>
    <row r="119" spans="1:13" ht="16.5">
      <c r="A119" s="59"/>
      <c r="B119" s="60" t="s">
        <v>588</v>
      </c>
      <c r="C119" s="61">
        <v>11636284</v>
      </c>
      <c r="D119" s="61"/>
      <c r="E119" s="61"/>
      <c r="F119" s="61"/>
      <c r="G119" s="61"/>
      <c r="H119" s="61"/>
      <c r="I119" s="61"/>
      <c r="J119" s="61"/>
      <c r="K119" s="61"/>
      <c r="L119" s="61"/>
      <c r="M119" s="62">
        <f>SUM(C119)</f>
        <v>11636284</v>
      </c>
    </row>
    <row r="120" spans="1:13" ht="409.5">
      <c r="A120" s="59" t="s">
        <v>351</v>
      </c>
      <c r="B120" s="60" t="s">
        <v>125</v>
      </c>
      <c r="C120" s="61">
        <f>SUM(C122)</f>
        <v>2064.18</v>
      </c>
      <c r="D120" s="61">
        <v>0</v>
      </c>
      <c r="E120" s="61">
        <v>0</v>
      </c>
      <c r="F120" s="61">
        <v>0</v>
      </c>
      <c r="G120" s="61">
        <v>0</v>
      </c>
      <c r="H120" s="61">
        <v>0</v>
      </c>
      <c r="I120" s="61">
        <v>0</v>
      </c>
      <c r="J120" s="61">
        <v>0</v>
      </c>
      <c r="K120" s="61">
        <v>0</v>
      </c>
      <c r="L120" s="61"/>
      <c r="M120" s="62">
        <f>C120+F120</f>
        <v>2064.18</v>
      </c>
    </row>
    <row r="121" spans="1:13" ht="108.75" customHeight="1">
      <c r="A121" s="59"/>
      <c r="B121" s="60" t="s">
        <v>717</v>
      </c>
      <c r="C121" s="61"/>
      <c r="D121" s="61"/>
      <c r="E121" s="61"/>
      <c r="F121" s="61"/>
      <c r="G121" s="61"/>
      <c r="H121" s="61"/>
      <c r="I121" s="61"/>
      <c r="J121" s="61"/>
      <c r="K121" s="61"/>
      <c r="L121" s="61"/>
      <c r="M121" s="62">
        <f>SUM(C121)</f>
        <v>0</v>
      </c>
    </row>
    <row r="122" spans="1:13" ht="16.5">
      <c r="A122" s="59"/>
      <c r="B122" s="60" t="s">
        <v>588</v>
      </c>
      <c r="C122" s="61">
        <f>1900-1900+2064.18</f>
        <v>2064.18</v>
      </c>
      <c r="D122" s="61"/>
      <c r="E122" s="61"/>
      <c r="F122" s="61"/>
      <c r="G122" s="61"/>
      <c r="H122" s="61"/>
      <c r="I122" s="61"/>
      <c r="J122" s="61"/>
      <c r="K122" s="61"/>
      <c r="L122" s="61"/>
      <c r="M122" s="62">
        <f>SUM(C122)</f>
        <v>2064.18</v>
      </c>
    </row>
    <row r="123" spans="1:13" ht="123" customHeight="1">
      <c r="A123" s="59" t="s">
        <v>725</v>
      </c>
      <c r="B123" s="60" t="s">
        <v>719</v>
      </c>
      <c r="C123" s="61">
        <f>SUM(C124:C125)</f>
        <v>1523572</v>
      </c>
      <c r="D123" s="61">
        <v>0</v>
      </c>
      <c r="E123" s="61">
        <v>0</v>
      </c>
      <c r="F123" s="61">
        <v>0</v>
      </c>
      <c r="G123" s="61">
        <v>0</v>
      </c>
      <c r="H123" s="61">
        <v>0</v>
      </c>
      <c r="I123" s="61">
        <v>0</v>
      </c>
      <c r="J123" s="61">
        <v>0</v>
      </c>
      <c r="K123" s="61">
        <v>0</v>
      </c>
      <c r="L123" s="61"/>
      <c r="M123" s="62">
        <f>C123+F123</f>
        <v>1523572</v>
      </c>
    </row>
    <row r="124" spans="1:13" ht="33">
      <c r="A124" s="59"/>
      <c r="B124" s="60" t="s">
        <v>587</v>
      </c>
      <c r="C124" s="61">
        <v>186656</v>
      </c>
      <c r="D124" s="61"/>
      <c r="E124" s="61"/>
      <c r="F124" s="61"/>
      <c r="G124" s="61"/>
      <c r="H124" s="61"/>
      <c r="I124" s="61"/>
      <c r="J124" s="61"/>
      <c r="K124" s="61"/>
      <c r="L124" s="61"/>
      <c r="M124" s="62">
        <f>SUM(C124)</f>
        <v>186656</v>
      </c>
    </row>
    <row r="125" spans="1:13" ht="16.5">
      <c r="A125" s="59"/>
      <c r="B125" s="60" t="s">
        <v>588</v>
      </c>
      <c r="C125" s="61">
        <v>1336916</v>
      </c>
      <c r="D125" s="61"/>
      <c r="E125" s="61"/>
      <c r="F125" s="61"/>
      <c r="G125" s="61"/>
      <c r="H125" s="61"/>
      <c r="I125" s="61"/>
      <c r="J125" s="61"/>
      <c r="K125" s="61"/>
      <c r="L125" s="61"/>
      <c r="M125" s="62">
        <f>SUM(C125)</f>
        <v>1336916</v>
      </c>
    </row>
    <row r="126" spans="1:13" ht="122.25" customHeight="1">
      <c r="A126" s="59" t="s">
        <v>353</v>
      </c>
      <c r="B126" s="60" t="s">
        <v>352</v>
      </c>
      <c r="C126" s="61">
        <f>1900-1900</f>
        <v>0</v>
      </c>
      <c r="D126" s="61">
        <v>0</v>
      </c>
      <c r="E126" s="61">
        <v>0</v>
      </c>
      <c r="F126" s="61">
        <v>0</v>
      </c>
      <c r="G126" s="61">
        <v>0</v>
      </c>
      <c r="H126" s="61">
        <v>0</v>
      </c>
      <c r="I126" s="61">
        <v>0</v>
      </c>
      <c r="J126" s="61">
        <v>0</v>
      </c>
      <c r="K126" s="61">
        <v>0</v>
      </c>
      <c r="L126" s="61"/>
      <c r="M126" s="62">
        <f>C126+F126</f>
        <v>0</v>
      </c>
    </row>
    <row r="127" spans="1:13" ht="16.5">
      <c r="A127" s="59"/>
      <c r="B127" s="60" t="s">
        <v>588</v>
      </c>
      <c r="C127" s="61">
        <f>1900-1900</f>
        <v>0</v>
      </c>
      <c r="D127" s="61"/>
      <c r="E127" s="61"/>
      <c r="F127" s="61"/>
      <c r="G127" s="61"/>
      <c r="H127" s="61"/>
      <c r="I127" s="61"/>
      <c r="J127" s="61"/>
      <c r="K127" s="61"/>
      <c r="L127" s="61"/>
      <c r="M127" s="62">
        <f>SUM(C127)</f>
        <v>0</v>
      </c>
    </row>
    <row r="128" spans="1:13" ht="107.25" customHeight="1">
      <c r="A128" s="59" t="s">
        <v>299</v>
      </c>
      <c r="B128" s="60" t="s">
        <v>720</v>
      </c>
      <c r="C128" s="61">
        <f>SUM(C129:C130)</f>
        <v>82651</v>
      </c>
      <c r="D128" s="61">
        <v>0</v>
      </c>
      <c r="E128" s="61">
        <v>0</v>
      </c>
      <c r="F128" s="61">
        <v>0</v>
      </c>
      <c r="G128" s="61">
        <v>0</v>
      </c>
      <c r="H128" s="61">
        <v>0</v>
      </c>
      <c r="I128" s="61">
        <v>0</v>
      </c>
      <c r="J128" s="61">
        <v>0</v>
      </c>
      <c r="K128" s="61">
        <v>0</v>
      </c>
      <c r="L128" s="61"/>
      <c r="M128" s="62">
        <f>C128+F128</f>
        <v>82651</v>
      </c>
    </row>
    <row r="129" spans="1:13" ht="33">
      <c r="A129" s="59"/>
      <c r="B129" s="60" t="s">
        <v>587</v>
      </c>
      <c r="C129" s="61">
        <v>7125</v>
      </c>
      <c r="D129" s="61"/>
      <c r="E129" s="61"/>
      <c r="F129" s="61"/>
      <c r="G129" s="61"/>
      <c r="H129" s="61"/>
      <c r="I129" s="61"/>
      <c r="J129" s="61"/>
      <c r="K129" s="61"/>
      <c r="L129" s="61"/>
      <c r="M129" s="62">
        <f>SUM(C129)</f>
        <v>7125</v>
      </c>
    </row>
    <row r="130" spans="1:13" ht="16.5">
      <c r="A130" s="59"/>
      <c r="B130" s="60" t="s">
        <v>588</v>
      </c>
      <c r="C130" s="61">
        <v>75526</v>
      </c>
      <c r="D130" s="61"/>
      <c r="E130" s="61"/>
      <c r="F130" s="61"/>
      <c r="G130" s="61"/>
      <c r="H130" s="61"/>
      <c r="I130" s="61"/>
      <c r="J130" s="61"/>
      <c r="K130" s="61"/>
      <c r="L130" s="61"/>
      <c r="M130" s="62">
        <f>SUM(C130)</f>
        <v>75526</v>
      </c>
    </row>
    <row r="131" spans="1:13" ht="227.25" customHeight="1">
      <c r="A131" s="59" t="s">
        <v>294</v>
      </c>
      <c r="B131" s="60" t="s">
        <v>569</v>
      </c>
      <c r="C131" s="61">
        <f>SUM(C132:C133)</f>
        <v>333564</v>
      </c>
      <c r="D131" s="61">
        <v>0</v>
      </c>
      <c r="E131" s="61">
        <v>0</v>
      </c>
      <c r="F131" s="61">
        <v>0</v>
      </c>
      <c r="G131" s="61">
        <v>0</v>
      </c>
      <c r="H131" s="61">
        <v>0</v>
      </c>
      <c r="I131" s="61">
        <v>0</v>
      </c>
      <c r="J131" s="61">
        <v>0</v>
      </c>
      <c r="K131" s="61">
        <v>0</v>
      </c>
      <c r="L131" s="61"/>
      <c r="M131" s="62">
        <f>C131+F131</f>
        <v>333564</v>
      </c>
    </row>
    <row r="132" spans="1:13" ht="33">
      <c r="A132" s="59"/>
      <c r="B132" s="60" t="s">
        <v>587</v>
      </c>
      <c r="C132" s="61">
        <v>28652</v>
      </c>
      <c r="D132" s="61"/>
      <c r="E132" s="61"/>
      <c r="F132" s="61"/>
      <c r="G132" s="61"/>
      <c r="H132" s="61"/>
      <c r="I132" s="61"/>
      <c r="J132" s="61"/>
      <c r="K132" s="61"/>
      <c r="L132" s="61"/>
      <c r="M132" s="62">
        <f>SUM(C132)</f>
        <v>28652</v>
      </c>
    </row>
    <row r="133" spans="1:13" ht="16.5">
      <c r="A133" s="59"/>
      <c r="B133" s="60" t="s">
        <v>588</v>
      </c>
      <c r="C133" s="61">
        <v>304912</v>
      </c>
      <c r="D133" s="61"/>
      <c r="E133" s="61"/>
      <c r="F133" s="61"/>
      <c r="G133" s="61"/>
      <c r="H133" s="61"/>
      <c r="I133" s="61"/>
      <c r="J133" s="61"/>
      <c r="K133" s="61"/>
      <c r="L133" s="61"/>
      <c r="M133" s="62">
        <f>SUM(C133)</f>
        <v>304912</v>
      </c>
    </row>
    <row r="134" spans="1:13" ht="66">
      <c r="A134" s="59" t="s">
        <v>396</v>
      </c>
      <c r="B134" s="60" t="s">
        <v>718</v>
      </c>
      <c r="C134" s="61">
        <v>109820</v>
      </c>
      <c r="D134" s="61">
        <v>0</v>
      </c>
      <c r="E134" s="61">
        <v>0</v>
      </c>
      <c r="F134" s="61">
        <v>0</v>
      </c>
      <c r="G134" s="61">
        <v>0</v>
      </c>
      <c r="H134" s="61">
        <v>0</v>
      </c>
      <c r="I134" s="61">
        <v>0</v>
      </c>
      <c r="J134" s="61">
        <v>0</v>
      </c>
      <c r="K134" s="61">
        <v>0</v>
      </c>
      <c r="L134" s="61"/>
      <c r="M134" s="62">
        <f>C134+F134</f>
        <v>109820</v>
      </c>
    </row>
    <row r="135" spans="1:13" ht="33">
      <c r="A135" s="59" t="s">
        <v>301</v>
      </c>
      <c r="B135" s="60" t="s">
        <v>300</v>
      </c>
      <c r="C135" s="61">
        <f>SUM(C136:C137)</f>
        <v>4226587</v>
      </c>
      <c r="D135" s="61">
        <v>0</v>
      </c>
      <c r="E135" s="61">
        <v>0</v>
      </c>
      <c r="F135" s="61">
        <v>0</v>
      </c>
      <c r="G135" s="61">
        <v>0</v>
      </c>
      <c r="H135" s="61">
        <v>0</v>
      </c>
      <c r="I135" s="61">
        <v>0</v>
      </c>
      <c r="J135" s="61">
        <v>0</v>
      </c>
      <c r="K135" s="61">
        <v>0</v>
      </c>
      <c r="L135" s="61"/>
      <c r="M135" s="62">
        <f>C135+F135</f>
        <v>4226587</v>
      </c>
    </row>
    <row r="136" spans="1:13" ht="33">
      <c r="A136" s="59"/>
      <c r="B136" s="60" t="s">
        <v>587</v>
      </c>
      <c r="C136" s="61">
        <v>433827</v>
      </c>
      <c r="D136" s="61"/>
      <c r="E136" s="61"/>
      <c r="F136" s="61"/>
      <c r="G136" s="61"/>
      <c r="H136" s="61"/>
      <c r="I136" s="61"/>
      <c r="J136" s="61"/>
      <c r="K136" s="61"/>
      <c r="L136" s="61"/>
      <c r="M136" s="62">
        <f>SUM(C136)</f>
        <v>433827</v>
      </c>
    </row>
    <row r="137" spans="1:13" ht="16.5">
      <c r="A137" s="59"/>
      <c r="B137" s="60" t="s">
        <v>588</v>
      </c>
      <c r="C137" s="61">
        <v>3792760</v>
      </c>
      <c r="D137" s="61"/>
      <c r="E137" s="61"/>
      <c r="F137" s="61"/>
      <c r="G137" s="61"/>
      <c r="H137" s="61"/>
      <c r="I137" s="61"/>
      <c r="J137" s="61"/>
      <c r="K137" s="61"/>
      <c r="L137" s="61"/>
      <c r="M137" s="62">
        <f>SUM(C137)</f>
        <v>3792760</v>
      </c>
    </row>
    <row r="138" spans="1:13" ht="33">
      <c r="A138" s="59" t="s">
        <v>296</v>
      </c>
      <c r="B138" s="60" t="s">
        <v>295</v>
      </c>
      <c r="C138" s="61">
        <f>SUM(C139:C140)</f>
        <v>3478292</v>
      </c>
      <c r="D138" s="61">
        <v>0</v>
      </c>
      <c r="E138" s="61">
        <v>0</v>
      </c>
      <c r="F138" s="61">
        <v>0</v>
      </c>
      <c r="G138" s="61">
        <v>0</v>
      </c>
      <c r="H138" s="61">
        <v>0</v>
      </c>
      <c r="I138" s="61">
        <v>0</v>
      </c>
      <c r="J138" s="61">
        <v>0</v>
      </c>
      <c r="K138" s="61">
        <v>0</v>
      </c>
      <c r="L138" s="61"/>
      <c r="M138" s="62">
        <f>C138+F138</f>
        <v>3478292</v>
      </c>
    </row>
    <row r="139" spans="1:13" ht="33">
      <c r="A139" s="59"/>
      <c r="B139" s="60" t="s">
        <v>587</v>
      </c>
      <c r="C139" s="61">
        <v>501296</v>
      </c>
      <c r="D139" s="61"/>
      <c r="E139" s="61"/>
      <c r="F139" s="61"/>
      <c r="G139" s="61"/>
      <c r="H139" s="61"/>
      <c r="I139" s="61"/>
      <c r="J139" s="61"/>
      <c r="K139" s="61"/>
      <c r="L139" s="61"/>
      <c r="M139" s="62">
        <f>SUM(C139)</f>
        <v>501296</v>
      </c>
    </row>
    <row r="140" spans="1:13" ht="16.5">
      <c r="A140" s="59"/>
      <c r="B140" s="60" t="s">
        <v>588</v>
      </c>
      <c r="C140" s="61">
        <v>2976996</v>
      </c>
      <c r="D140" s="61"/>
      <c r="E140" s="61"/>
      <c r="F140" s="61"/>
      <c r="G140" s="61"/>
      <c r="H140" s="61"/>
      <c r="I140" s="61"/>
      <c r="J140" s="61"/>
      <c r="K140" s="61"/>
      <c r="L140" s="61"/>
      <c r="M140" s="62">
        <f>SUM(C140)</f>
        <v>2976996</v>
      </c>
    </row>
    <row r="141" spans="1:13" ht="49.5">
      <c r="A141" s="59" t="s">
        <v>354</v>
      </c>
      <c r="B141" s="60" t="s">
        <v>590</v>
      </c>
      <c r="C141" s="61">
        <f>6460-6460</f>
        <v>0</v>
      </c>
      <c r="D141" s="61">
        <v>0</v>
      </c>
      <c r="E141" s="61">
        <v>0</v>
      </c>
      <c r="F141" s="61">
        <v>0</v>
      </c>
      <c r="G141" s="61">
        <v>0</v>
      </c>
      <c r="H141" s="61">
        <v>0</v>
      </c>
      <c r="I141" s="61">
        <v>0</v>
      </c>
      <c r="J141" s="61">
        <v>0</v>
      </c>
      <c r="K141" s="61">
        <v>0</v>
      </c>
      <c r="L141" s="61"/>
      <c r="M141" s="62">
        <f>C141+F141</f>
        <v>0</v>
      </c>
    </row>
    <row r="142" spans="1:13" ht="16.5">
      <c r="A142" s="59"/>
      <c r="B142" s="60" t="s">
        <v>588</v>
      </c>
      <c r="C142" s="61">
        <f>6460-6460</f>
        <v>0</v>
      </c>
      <c r="D142" s="61"/>
      <c r="E142" s="61"/>
      <c r="F142" s="61"/>
      <c r="G142" s="61"/>
      <c r="H142" s="61"/>
      <c r="I142" s="61"/>
      <c r="J142" s="61"/>
      <c r="K142" s="61"/>
      <c r="L142" s="61"/>
      <c r="M142" s="62">
        <f>SUM(C142)</f>
        <v>0</v>
      </c>
    </row>
    <row r="143" spans="1:13" ht="16.5">
      <c r="A143" s="59" t="s">
        <v>397</v>
      </c>
      <c r="B143" s="60" t="s">
        <v>572</v>
      </c>
      <c r="C143" s="61">
        <f>SUM(C144:C145)</f>
        <v>3939840</v>
      </c>
      <c r="D143" s="61">
        <v>0</v>
      </c>
      <c r="E143" s="61">
        <v>0</v>
      </c>
      <c r="F143" s="61">
        <v>0</v>
      </c>
      <c r="G143" s="61">
        <v>0</v>
      </c>
      <c r="H143" s="61">
        <v>0</v>
      </c>
      <c r="I143" s="61">
        <v>0</v>
      </c>
      <c r="J143" s="61">
        <v>0</v>
      </c>
      <c r="K143" s="61">
        <v>0</v>
      </c>
      <c r="L143" s="61"/>
      <c r="M143" s="62">
        <f>C143+F143</f>
        <v>3939840</v>
      </c>
    </row>
    <row r="144" spans="1:13" ht="33">
      <c r="A144" s="59"/>
      <c r="B144" s="60" t="s">
        <v>587</v>
      </c>
      <c r="C144" s="61">
        <v>721780</v>
      </c>
      <c r="D144" s="61"/>
      <c r="E144" s="61"/>
      <c r="F144" s="61"/>
      <c r="G144" s="61"/>
      <c r="H144" s="61"/>
      <c r="I144" s="61"/>
      <c r="J144" s="61"/>
      <c r="K144" s="61"/>
      <c r="L144" s="61"/>
      <c r="M144" s="62">
        <f>SUM(C144)</f>
        <v>721780</v>
      </c>
    </row>
    <row r="145" spans="1:13" ht="16.5">
      <c r="A145" s="59"/>
      <c r="B145" s="60" t="s">
        <v>588</v>
      </c>
      <c r="C145" s="61">
        <v>3218060</v>
      </c>
      <c r="D145" s="61"/>
      <c r="E145" s="61"/>
      <c r="F145" s="61"/>
      <c r="G145" s="61"/>
      <c r="H145" s="61"/>
      <c r="I145" s="61"/>
      <c r="J145" s="61"/>
      <c r="K145" s="61"/>
      <c r="L145" s="61"/>
      <c r="M145" s="62">
        <f>SUM(C145)</f>
        <v>3218060</v>
      </c>
    </row>
    <row r="146" spans="1:13" ht="33">
      <c r="A146" s="59" t="s">
        <v>398</v>
      </c>
      <c r="B146" s="60" t="s">
        <v>573</v>
      </c>
      <c r="C146" s="61">
        <f>SUM(C147:C148)</f>
        <v>77575360</v>
      </c>
      <c r="D146" s="61">
        <v>0</v>
      </c>
      <c r="E146" s="61">
        <v>0</v>
      </c>
      <c r="F146" s="61">
        <v>0</v>
      </c>
      <c r="G146" s="61">
        <v>0</v>
      </c>
      <c r="H146" s="61">
        <v>0</v>
      </c>
      <c r="I146" s="61">
        <v>0</v>
      </c>
      <c r="J146" s="61">
        <v>0</v>
      </c>
      <c r="K146" s="61">
        <v>0</v>
      </c>
      <c r="L146" s="61"/>
      <c r="M146" s="62">
        <f>C146+F146</f>
        <v>77575360</v>
      </c>
    </row>
    <row r="147" spans="1:13" ht="33">
      <c r="A147" s="59"/>
      <c r="B147" s="60" t="s">
        <v>587</v>
      </c>
      <c r="C147" s="61">
        <v>16687111</v>
      </c>
      <c r="D147" s="61"/>
      <c r="E147" s="61"/>
      <c r="F147" s="61"/>
      <c r="G147" s="61"/>
      <c r="H147" s="61"/>
      <c r="I147" s="61"/>
      <c r="J147" s="61"/>
      <c r="K147" s="61"/>
      <c r="L147" s="61"/>
      <c r="M147" s="62">
        <f>SUM(C147)</f>
        <v>16687111</v>
      </c>
    </row>
    <row r="148" spans="1:13" ht="16.5">
      <c r="A148" s="59"/>
      <c r="B148" s="60" t="s">
        <v>588</v>
      </c>
      <c r="C148" s="61">
        <f>65762249-4874000</f>
        <v>60888249</v>
      </c>
      <c r="D148" s="61"/>
      <c r="E148" s="61"/>
      <c r="F148" s="61"/>
      <c r="G148" s="61"/>
      <c r="H148" s="61"/>
      <c r="I148" s="61"/>
      <c r="J148" s="61"/>
      <c r="K148" s="61"/>
      <c r="L148" s="61"/>
      <c r="M148" s="62">
        <f>SUM(C148)</f>
        <v>60888249</v>
      </c>
    </row>
    <row r="149" spans="1:13" ht="16.5">
      <c r="A149" s="59" t="s">
        <v>399</v>
      </c>
      <c r="B149" s="60" t="s">
        <v>591</v>
      </c>
      <c r="C149" s="61">
        <f>SUM(C150:C151)</f>
        <v>182388180</v>
      </c>
      <c r="D149" s="61">
        <v>0</v>
      </c>
      <c r="E149" s="61">
        <v>0</v>
      </c>
      <c r="F149" s="61">
        <v>0</v>
      </c>
      <c r="G149" s="61">
        <v>0</v>
      </c>
      <c r="H149" s="61">
        <v>0</v>
      </c>
      <c r="I149" s="61">
        <v>0</v>
      </c>
      <c r="J149" s="61">
        <v>0</v>
      </c>
      <c r="K149" s="61">
        <v>0</v>
      </c>
      <c r="L149" s="61"/>
      <c r="M149" s="62">
        <f>C149+F149</f>
        <v>182388180</v>
      </c>
    </row>
    <row r="150" spans="1:13" ht="33">
      <c r="A150" s="59"/>
      <c r="B150" s="60" t="s">
        <v>587</v>
      </c>
      <c r="C150" s="61">
        <v>38362520</v>
      </c>
      <c r="D150" s="61"/>
      <c r="E150" s="61"/>
      <c r="F150" s="61"/>
      <c r="G150" s="61"/>
      <c r="H150" s="61"/>
      <c r="I150" s="61"/>
      <c r="J150" s="61"/>
      <c r="K150" s="61"/>
      <c r="L150" s="61"/>
      <c r="M150" s="62">
        <f>SUM(C150)</f>
        <v>38362520</v>
      </c>
    </row>
    <row r="151" spans="1:13" ht="16.5">
      <c r="A151" s="59"/>
      <c r="B151" s="60" t="s">
        <v>588</v>
      </c>
      <c r="C151" s="61">
        <f>175686160-31660500</f>
        <v>144025660</v>
      </c>
      <c r="D151" s="61"/>
      <c r="E151" s="61"/>
      <c r="F151" s="61"/>
      <c r="G151" s="61"/>
      <c r="H151" s="61"/>
      <c r="I151" s="61"/>
      <c r="J151" s="61"/>
      <c r="K151" s="61"/>
      <c r="L151" s="61"/>
      <c r="M151" s="62">
        <f>SUM(C151)</f>
        <v>144025660</v>
      </c>
    </row>
    <row r="152" spans="1:13" ht="33">
      <c r="A152" s="59" t="s">
        <v>400</v>
      </c>
      <c r="B152" s="60" t="s">
        <v>592</v>
      </c>
      <c r="C152" s="61">
        <f>SUM(C153:C154)</f>
        <v>17527660</v>
      </c>
      <c r="D152" s="61">
        <v>0</v>
      </c>
      <c r="E152" s="61">
        <v>0</v>
      </c>
      <c r="F152" s="61">
        <v>0</v>
      </c>
      <c r="G152" s="61">
        <v>0</v>
      </c>
      <c r="H152" s="61">
        <v>0</v>
      </c>
      <c r="I152" s="61">
        <v>0</v>
      </c>
      <c r="J152" s="61">
        <v>0</v>
      </c>
      <c r="K152" s="61">
        <v>0</v>
      </c>
      <c r="L152" s="61"/>
      <c r="M152" s="62">
        <f>C152+F152</f>
        <v>17527660</v>
      </c>
    </row>
    <row r="153" spans="1:13" ht="33">
      <c r="A153" s="59"/>
      <c r="B153" s="60" t="s">
        <v>587</v>
      </c>
      <c r="C153" s="61">
        <v>3295683</v>
      </c>
      <c r="D153" s="61"/>
      <c r="E153" s="61"/>
      <c r="F153" s="61"/>
      <c r="G153" s="61"/>
      <c r="H153" s="61"/>
      <c r="I153" s="61"/>
      <c r="J153" s="61"/>
      <c r="K153" s="61"/>
      <c r="L153" s="61"/>
      <c r="M153" s="62">
        <f>SUM(C153)</f>
        <v>3295683</v>
      </c>
    </row>
    <row r="154" spans="1:13" ht="16.5">
      <c r="A154" s="59"/>
      <c r="B154" s="60" t="s">
        <v>588</v>
      </c>
      <c r="C154" s="61">
        <f>11716977+2515000</f>
        <v>14231977</v>
      </c>
      <c r="D154" s="61"/>
      <c r="E154" s="61"/>
      <c r="F154" s="61"/>
      <c r="G154" s="61"/>
      <c r="H154" s="61"/>
      <c r="I154" s="61"/>
      <c r="J154" s="61"/>
      <c r="K154" s="61"/>
      <c r="L154" s="61"/>
      <c r="M154" s="62">
        <f>SUM(C154)</f>
        <v>14231977</v>
      </c>
    </row>
    <row r="155" spans="1:13" ht="16.5">
      <c r="A155" s="59" t="s">
        <v>401</v>
      </c>
      <c r="B155" s="60" t="s">
        <v>593</v>
      </c>
      <c r="C155" s="61">
        <f>SUM(C156:C157)</f>
        <v>45819960</v>
      </c>
      <c r="D155" s="61">
        <v>0</v>
      </c>
      <c r="E155" s="61">
        <v>0</v>
      </c>
      <c r="F155" s="61">
        <v>0</v>
      </c>
      <c r="G155" s="61">
        <v>0</v>
      </c>
      <c r="H155" s="61">
        <v>0</v>
      </c>
      <c r="I155" s="61">
        <v>0</v>
      </c>
      <c r="J155" s="61">
        <v>0</v>
      </c>
      <c r="K155" s="61">
        <v>0</v>
      </c>
      <c r="L155" s="61"/>
      <c r="M155" s="62">
        <f>C155+F155</f>
        <v>45819960</v>
      </c>
    </row>
    <row r="156" spans="1:13" ht="33">
      <c r="A156" s="59"/>
      <c r="B156" s="60" t="s">
        <v>587</v>
      </c>
      <c r="C156" s="61">
        <v>10118792</v>
      </c>
      <c r="D156" s="61"/>
      <c r="E156" s="61"/>
      <c r="F156" s="61"/>
      <c r="G156" s="61"/>
      <c r="H156" s="61"/>
      <c r="I156" s="61"/>
      <c r="J156" s="61"/>
      <c r="K156" s="61"/>
      <c r="L156" s="61"/>
      <c r="M156" s="62">
        <f>SUM(C156)</f>
        <v>10118792</v>
      </c>
    </row>
    <row r="157" spans="1:13" ht="16.5">
      <c r="A157" s="59"/>
      <c r="B157" s="60" t="s">
        <v>588</v>
      </c>
      <c r="C157" s="61">
        <f>30671168+5030000</f>
        <v>35701168</v>
      </c>
      <c r="D157" s="61"/>
      <c r="E157" s="61"/>
      <c r="F157" s="61"/>
      <c r="G157" s="61"/>
      <c r="H157" s="61"/>
      <c r="I157" s="61"/>
      <c r="J157" s="61"/>
      <c r="K157" s="61"/>
      <c r="L157" s="61"/>
      <c r="M157" s="62">
        <f>SUM(C157)</f>
        <v>35701168</v>
      </c>
    </row>
    <row r="158" spans="1:13" ht="16.5">
      <c r="A158" s="59" t="s">
        <v>402</v>
      </c>
      <c r="B158" s="60" t="s">
        <v>594</v>
      </c>
      <c r="C158" s="61">
        <f>SUM(C159:C160)</f>
        <v>2753060</v>
      </c>
      <c r="D158" s="61">
        <v>0</v>
      </c>
      <c r="E158" s="61">
        <v>0</v>
      </c>
      <c r="F158" s="61">
        <v>0</v>
      </c>
      <c r="G158" s="61">
        <v>0</v>
      </c>
      <c r="H158" s="61">
        <v>0</v>
      </c>
      <c r="I158" s="61">
        <v>0</v>
      </c>
      <c r="J158" s="61">
        <v>0</v>
      </c>
      <c r="K158" s="61">
        <v>0</v>
      </c>
      <c r="L158" s="61"/>
      <c r="M158" s="62">
        <f>C158+F158</f>
        <v>2753060</v>
      </c>
    </row>
    <row r="159" spans="1:13" ht="33">
      <c r="A159" s="59"/>
      <c r="B159" s="60" t="s">
        <v>587</v>
      </c>
      <c r="C159" s="61">
        <v>602965</v>
      </c>
      <c r="D159" s="61"/>
      <c r="E159" s="61"/>
      <c r="F159" s="61"/>
      <c r="G159" s="61"/>
      <c r="H159" s="61"/>
      <c r="I159" s="61"/>
      <c r="J159" s="61"/>
      <c r="K159" s="61"/>
      <c r="L159" s="61"/>
      <c r="M159" s="62">
        <f>SUM(C159)</f>
        <v>602965</v>
      </c>
    </row>
    <row r="160" spans="1:13" ht="16.5">
      <c r="A160" s="59"/>
      <c r="B160" s="60" t="s">
        <v>588</v>
      </c>
      <c r="C160" s="61">
        <f>1995095+155000</f>
        <v>2150095</v>
      </c>
      <c r="D160" s="61"/>
      <c r="E160" s="61"/>
      <c r="F160" s="61"/>
      <c r="G160" s="61"/>
      <c r="H160" s="61"/>
      <c r="I160" s="61"/>
      <c r="J160" s="61"/>
      <c r="K160" s="61"/>
      <c r="L160" s="61"/>
      <c r="M160" s="62">
        <f>SUM(C160)</f>
        <v>2150095</v>
      </c>
    </row>
    <row r="161" spans="1:13" ht="16.5">
      <c r="A161" s="59" t="s">
        <v>403</v>
      </c>
      <c r="B161" s="60" t="s">
        <v>728</v>
      </c>
      <c r="C161" s="61">
        <f>SUM(C162:C163)</f>
        <v>831460</v>
      </c>
      <c r="D161" s="61">
        <v>0</v>
      </c>
      <c r="E161" s="61">
        <v>0</v>
      </c>
      <c r="F161" s="61">
        <v>0</v>
      </c>
      <c r="G161" s="61">
        <v>0</v>
      </c>
      <c r="H161" s="61">
        <v>0</v>
      </c>
      <c r="I161" s="61">
        <v>0</v>
      </c>
      <c r="J161" s="61">
        <v>0</v>
      </c>
      <c r="K161" s="61">
        <v>0</v>
      </c>
      <c r="L161" s="61"/>
      <c r="M161" s="62">
        <f>C161+F161</f>
        <v>831460</v>
      </c>
    </row>
    <row r="162" spans="1:13" ht="33">
      <c r="A162" s="59"/>
      <c r="B162" s="60" t="s">
        <v>587</v>
      </c>
      <c r="C162" s="61">
        <v>200119</v>
      </c>
      <c r="D162" s="61"/>
      <c r="E162" s="61"/>
      <c r="F162" s="61"/>
      <c r="G162" s="61"/>
      <c r="H162" s="61"/>
      <c r="I162" s="61"/>
      <c r="J162" s="61"/>
      <c r="K162" s="61"/>
      <c r="L162" s="61"/>
      <c r="M162" s="62">
        <f>SUM(C162)</f>
        <v>200119</v>
      </c>
    </row>
    <row r="163" spans="1:13" ht="16.5">
      <c r="A163" s="59"/>
      <c r="B163" s="60" t="s">
        <v>588</v>
      </c>
      <c r="C163" s="61">
        <f>1126841-495500</f>
        <v>631341</v>
      </c>
      <c r="D163" s="61"/>
      <c r="E163" s="61"/>
      <c r="F163" s="61"/>
      <c r="G163" s="61"/>
      <c r="H163" s="61"/>
      <c r="I163" s="61"/>
      <c r="J163" s="61"/>
      <c r="K163" s="61"/>
      <c r="L163" s="61"/>
      <c r="M163" s="62">
        <f>SUM(C163)</f>
        <v>631341</v>
      </c>
    </row>
    <row r="164" spans="1:13" ht="33">
      <c r="A164" s="59" t="s">
        <v>404</v>
      </c>
      <c r="B164" s="60" t="s">
        <v>574</v>
      </c>
      <c r="C164" s="61">
        <f>SUM(C165:C166)</f>
        <v>41942980</v>
      </c>
      <c r="D164" s="61">
        <v>0</v>
      </c>
      <c r="E164" s="61">
        <v>0</v>
      </c>
      <c r="F164" s="61">
        <v>0</v>
      </c>
      <c r="G164" s="61">
        <v>0</v>
      </c>
      <c r="H164" s="61">
        <v>0</v>
      </c>
      <c r="I164" s="61">
        <v>0</v>
      </c>
      <c r="J164" s="61">
        <v>0</v>
      </c>
      <c r="K164" s="61">
        <v>0</v>
      </c>
      <c r="L164" s="61"/>
      <c r="M164" s="62">
        <f>C164+F164</f>
        <v>41942980</v>
      </c>
    </row>
    <row r="165" spans="1:13" ht="33">
      <c r="A165" s="59"/>
      <c r="B165" s="60" t="s">
        <v>587</v>
      </c>
      <c r="C165" s="61">
        <v>9210516</v>
      </c>
      <c r="D165" s="61"/>
      <c r="E165" s="61"/>
      <c r="F165" s="61"/>
      <c r="G165" s="61"/>
      <c r="H165" s="61"/>
      <c r="I165" s="61"/>
      <c r="J165" s="61"/>
      <c r="K165" s="61"/>
      <c r="L165" s="61"/>
      <c r="M165" s="62">
        <f>SUM(C165)</f>
        <v>9210516</v>
      </c>
    </row>
    <row r="166" spans="1:13" ht="16.5">
      <c r="A166" s="59"/>
      <c r="B166" s="60" t="s">
        <v>588</v>
      </c>
      <c r="C166" s="61">
        <f>18632464+14100000</f>
        <v>32732464</v>
      </c>
      <c r="D166" s="61"/>
      <c r="E166" s="61"/>
      <c r="F166" s="61"/>
      <c r="G166" s="61"/>
      <c r="H166" s="61"/>
      <c r="I166" s="61"/>
      <c r="J166" s="61"/>
      <c r="K166" s="61"/>
      <c r="L166" s="61"/>
      <c r="M166" s="62">
        <f>SUM(C166)</f>
        <v>32732464</v>
      </c>
    </row>
    <row r="167" spans="1:13" ht="33">
      <c r="A167" s="59" t="s">
        <v>297</v>
      </c>
      <c r="B167" s="60" t="s">
        <v>595</v>
      </c>
      <c r="C167" s="61">
        <f>SUM(C168:C169)</f>
        <v>8933800</v>
      </c>
      <c r="D167" s="61">
        <v>0</v>
      </c>
      <c r="E167" s="61">
        <v>0</v>
      </c>
      <c r="F167" s="61">
        <v>0</v>
      </c>
      <c r="G167" s="61">
        <v>0</v>
      </c>
      <c r="H167" s="61">
        <v>0</v>
      </c>
      <c r="I167" s="61">
        <v>0</v>
      </c>
      <c r="J167" s="61">
        <v>0</v>
      </c>
      <c r="K167" s="61">
        <v>0</v>
      </c>
      <c r="L167" s="61"/>
      <c r="M167" s="62">
        <f>C167+F167</f>
        <v>8933800</v>
      </c>
    </row>
    <row r="168" spans="1:13" ht="33">
      <c r="A168" s="59"/>
      <c r="B168" s="60" t="s">
        <v>587</v>
      </c>
      <c r="C168" s="61">
        <v>871530</v>
      </c>
      <c r="D168" s="61"/>
      <c r="E168" s="61"/>
      <c r="F168" s="61"/>
      <c r="G168" s="61"/>
      <c r="H168" s="61"/>
      <c r="I168" s="61"/>
      <c r="J168" s="61"/>
      <c r="K168" s="61"/>
      <c r="L168" s="61"/>
      <c r="M168" s="62">
        <f>SUM(C168)</f>
        <v>871530</v>
      </c>
    </row>
    <row r="169" spans="1:13" ht="16.5">
      <c r="A169" s="59"/>
      <c r="B169" s="60" t="s">
        <v>588</v>
      </c>
      <c r="C169" s="61">
        <v>8062270</v>
      </c>
      <c r="D169" s="61"/>
      <c r="E169" s="61"/>
      <c r="F169" s="61"/>
      <c r="G169" s="61"/>
      <c r="H169" s="61"/>
      <c r="I169" s="61"/>
      <c r="J169" s="61"/>
      <c r="K169" s="61"/>
      <c r="L169" s="61"/>
      <c r="M169" s="62">
        <f>SUM(C169)</f>
        <v>8062270</v>
      </c>
    </row>
    <row r="170" spans="1:13" ht="69.75" customHeight="1">
      <c r="A170" s="59" t="s">
        <v>355</v>
      </c>
      <c r="B170" s="60" t="s">
        <v>726</v>
      </c>
      <c r="C170" s="61">
        <f>SUM(C171:C172)</f>
        <v>149144.96</v>
      </c>
      <c r="D170" s="61">
        <v>0</v>
      </c>
      <c r="E170" s="61">
        <v>0</v>
      </c>
      <c r="F170" s="61">
        <v>0</v>
      </c>
      <c r="G170" s="61">
        <v>0</v>
      </c>
      <c r="H170" s="61">
        <v>0</v>
      </c>
      <c r="I170" s="61">
        <v>0</v>
      </c>
      <c r="J170" s="61">
        <v>0</v>
      </c>
      <c r="K170" s="61">
        <v>0</v>
      </c>
      <c r="L170" s="61"/>
      <c r="M170" s="62">
        <f>C170+F170</f>
        <v>149144.96</v>
      </c>
    </row>
    <row r="171" spans="1:13" ht="33">
      <c r="A171" s="59"/>
      <c r="B171" s="60" t="s">
        <v>587</v>
      </c>
      <c r="C171" s="61">
        <v>74066</v>
      </c>
      <c r="D171" s="61"/>
      <c r="E171" s="61"/>
      <c r="F171" s="61"/>
      <c r="G171" s="61"/>
      <c r="H171" s="61"/>
      <c r="I171" s="61"/>
      <c r="J171" s="61"/>
      <c r="K171" s="61"/>
      <c r="L171" s="61"/>
      <c r="M171" s="62">
        <f>SUM(C171)</f>
        <v>74066</v>
      </c>
    </row>
    <row r="172" spans="1:13" ht="16.5">
      <c r="A172" s="59"/>
      <c r="B172" s="60" t="s">
        <v>588</v>
      </c>
      <c r="C172" s="61">
        <f>24278+714+30046.35+20040.61</f>
        <v>75078.95999999999</v>
      </c>
      <c r="D172" s="61"/>
      <c r="E172" s="61"/>
      <c r="F172" s="61"/>
      <c r="G172" s="61"/>
      <c r="H172" s="61"/>
      <c r="I172" s="61"/>
      <c r="J172" s="61"/>
      <c r="K172" s="61"/>
      <c r="L172" s="61"/>
      <c r="M172" s="62">
        <f>SUM(C172)</f>
        <v>75078.95999999999</v>
      </c>
    </row>
    <row r="173" spans="1:13" ht="33">
      <c r="A173" s="59" t="s">
        <v>405</v>
      </c>
      <c r="B173" s="60" t="s">
        <v>632</v>
      </c>
      <c r="C173" s="61">
        <f>SUM(C174+C175+C176)+1806156</f>
        <v>3552826</v>
      </c>
      <c r="D173" s="61">
        <v>0</v>
      </c>
      <c r="E173" s="61">
        <v>0</v>
      </c>
      <c r="F173" s="61">
        <v>0</v>
      </c>
      <c r="G173" s="61">
        <v>0</v>
      </c>
      <c r="H173" s="61">
        <v>0</v>
      </c>
      <c r="I173" s="61">
        <v>0</v>
      </c>
      <c r="J173" s="61">
        <v>0</v>
      </c>
      <c r="K173" s="61">
        <v>0</v>
      </c>
      <c r="L173" s="61"/>
      <c r="M173" s="62">
        <f>C173+F173</f>
        <v>3552826</v>
      </c>
    </row>
    <row r="174" spans="1:13" ht="85.5" customHeight="1">
      <c r="A174" s="59"/>
      <c r="B174" s="60" t="s">
        <v>384</v>
      </c>
      <c r="C174" s="77">
        <v>1543940</v>
      </c>
      <c r="D174" s="61"/>
      <c r="E174" s="61"/>
      <c r="F174" s="61"/>
      <c r="G174" s="61"/>
      <c r="H174" s="61"/>
      <c r="I174" s="61"/>
      <c r="J174" s="61"/>
      <c r="K174" s="61"/>
      <c r="L174" s="61"/>
      <c r="M174" s="62">
        <f>SUM(C174)</f>
        <v>1543940</v>
      </c>
    </row>
    <row r="175" spans="1:13" ht="49.5">
      <c r="A175" s="59"/>
      <c r="B175" s="60" t="s">
        <v>320</v>
      </c>
      <c r="C175" s="77">
        <v>8930</v>
      </c>
      <c r="D175" s="61"/>
      <c r="E175" s="61"/>
      <c r="F175" s="61"/>
      <c r="G175" s="61"/>
      <c r="H175" s="61"/>
      <c r="I175" s="61"/>
      <c r="J175" s="61"/>
      <c r="K175" s="61"/>
      <c r="L175" s="61"/>
      <c r="M175" s="62">
        <f>SUM(C175)</f>
        <v>8930</v>
      </c>
    </row>
    <row r="176" spans="1:13" ht="139.5" customHeight="1">
      <c r="A176" s="59"/>
      <c r="B176" s="60" t="s">
        <v>132</v>
      </c>
      <c r="C176" s="77">
        <v>193800</v>
      </c>
      <c r="D176" s="61"/>
      <c r="E176" s="61"/>
      <c r="F176" s="61"/>
      <c r="G176" s="61"/>
      <c r="H176" s="61"/>
      <c r="I176" s="61"/>
      <c r="J176" s="61"/>
      <c r="K176" s="61"/>
      <c r="L176" s="61"/>
      <c r="M176" s="62">
        <f>SUM(C176)</f>
        <v>193800</v>
      </c>
    </row>
    <row r="177" spans="1:13" ht="33">
      <c r="A177" s="59" t="s">
        <v>406</v>
      </c>
      <c r="B177" s="60" t="s">
        <v>15</v>
      </c>
      <c r="C177" s="61">
        <f>SUM(C178)</f>
        <v>5522540</v>
      </c>
      <c r="D177" s="61">
        <v>0</v>
      </c>
      <c r="E177" s="61">
        <v>0</v>
      </c>
      <c r="F177" s="61">
        <v>0</v>
      </c>
      <c r="G177" s="61">
        <v>0</v>
      </c>
      <c r="H177" s="61">
        <v>0</v>
      </c>
      <c r="I177" s="61">
        <v>0</v>
      </c>
      <c r="J177" s="61">
        <v>0</v>
      </c>
      <c r="K177" s="61">
        <v>0</v>
      </c>
      <c r="L177" s="61"/>
      <c r="M177" s="62">
        <f>C177+F177</f>
        <v>5522540</v>
      </c>
    </row>
    <row r="178" spans="1:13" ht="53.25" customHeight="1">
      <c r="A178" s="59"/>
      <c r="B178" s="60" t="s">
        <v>122</v>
      </c>
      <c r="C178" s="61">
        <v>5522540</v>
      </c>
      <c r="D178" s="61"/>
      <c r="E178" s="61"/>
      <c r="F178" s="61"/>
      <c r="G178" s="61"/>
      <c r="H178" s="61"/>
      <c r="I178" s="61"/>
      <c r="J178" s="61"/>
      <c r="K178" s="61"/>
      <c r="L178" s="61"/>
      <c r="M178" s="62">
        <f>SUM(C178)</f>
        <v>5522540</v>
      </c>
    </row>
    <row r="179" spans="1:13" ht="90" customHeight="1">
      <c r="A179" s="59" t="s">
        <v>547</v>
      </c>
      <c r="B179" s="60" t="s">
        <v>721</v>
      </c>
      <c r="C179" s="61">
        <f>SUM(C180:C181)</f>
        <v>35633.54</v>
      </c>
      <c r="D179" s="61">
        <v>0</v>
      </c>
      <c r="E179" s="61">
        <v>0</v>
      </c>
      <c r="F179" s="61">
        <v>0</v>
      </c>
      <c r="G179" s="61">
        <v>0</v>
      </c>
      <c r="H179" s="61">
        <v>0</v>
      </c>
      <c r="I179" s="61">
        <v>0</v>
      </c>
      <c r="J179" s="61">
        <v>0</v>
      </c>
      <c r="K179" s="61">
        <v>0</v>
      </c>
      <c r="L179" s="61"/>
      <c r="M179" s="62">
        <f>C179+F179</f>
        <v>35633.54</v>
      </c>
    </row>
    <row r="180" spans="1:13" ht="33">
      <c r="A180" s="59"/>
      <c r="B180" s="60" t="s">
        <v>587</v>
      </c>
      <c r="C180" s="61">
        <v>17134</v>
      </c>
      <c r="D180" s="61"/>
      <c r="E180" s="61"/>
      <c r="F180" s="61"/>
      <c r="G180" s="61"/>
      <c r="H180" s="61"/>
      <c r="I180" s="61"/>
      <c r="J180" s="61"/>
      <c r="K180" s="61"/>
      <c r="L180" s="61"/>
      <c r="M180" s="62">
        <f>SUM(C180)</f>
        <v>17134</v>
      </c>
    </row>
    <row r="181" spans="1:13" ht="16.5">
      <c r="A181" s="59"/>
      <c r="B181" s="60" t="s">
        <v>588</v>
      </c>
      <c r="C181" s="61">
        <f>23526+39.65-3486-5248+3667.89</f>
        <v>18499.54</v>
      </c>
      <c r="D181" s="61"/>
      <c r="E181" s="61"/>
      <c r="F181" s="61"/>
      <c r="G181" s="61"/>
      <c r="H181" s="61"/>
      <c r="I181" s="61"/>
      <c r="J181" s="61"/>
      <c r="K181" s="61"/>
      <c r="L181" s="61"/>
      <c r="M181" s="62">
        <f>SUM(C181)</f>
        <v>18499.54</v>
      </c>
    </row>
    <row r="182" spans="1:13" ht="49.5">
      <c r="A182" s="59" t="s">
        <v>411</v>
      </c>
      <c r="B182" s="60" t="s">
        <v>729</v>
      </c>
      <c r="C182" s="61">
        <v>810920</v>
      </c>
      <c r="D182" s="61">
        <v>0</v>
      </c>
      <c r="E182" s="61">
        <v>0</v>
      </c>
      <c r="F182" s="61">
        <v>0</v>
      </c>
      <c r="G182" s="61">
        <v>0</v>
      </c>
      <c r="H182" s="61">
        <v>0</v>
      </c>
      <c r="I182" s="61">
        <v>0</v>
      </c>
      <c r="J182" s="61">
        <v>0</v>
      </c>
      <c r="K182" s="61">
        <v>0</v>
      </c>
      <c r="L182" s="61"/>
      <c r="M182" s="62">
        <f>C182+F182</f>
        <v>810920</v>
      </c>
    </row>
    <row r="183" spans="1:13" ht="101.25" customHeight="1">
      <c r="A183" s="59" t="s">
        <v>460</v>
      </c>
      <c r="B183" s="60" t="s">
        <v>291</v>
      </c>
      <c r="C183" s="61">
        <f>45220-45200</f>
        <v>20</v>
      </c>
      <c r="D183" s="61">
        <v>0</v>
      </c>
      <c r="E183" s="61">
        <v>0</v>
      </c>
      <c r="F183" s="61">
        <v>0</v>
      </c>
      <c r="G183" s="61">
        <v>0</v>
      </c>
      <c r="H183" s="61">
        <v>0</v>
      </c>
      <c r="I183" s="61">
        <v>0</v>
      </c>
      <c r="J183" s="61">
        <v>0</v>
      </c>
      <c r="K183" s="61">
        <v>0</v>
      </c>
      <c r="L183" s="61"/>
      <c r="M183" s="62">
        <f>C183+F183</f>
        <v>20</v>
      </c>
    </row>
    <row r="184" spans="1:13" ht="51.75" customHeight="1">
      <c r="A184" s="59" t="s">
        <v>412</v>
      </c>
      <c r="B184" s="60" t="s">
        <v>646</v>
      </c>
      <c r="C184" s="61">
        <f>14140230+9169400</f>
        <v>23309630</v>
      </c>
      <c r="D184" s="61">
        <f>10056700+6727400</f>
        <v>16784100</v>
      </c>
      <c r="E184" s="61">
        <v>286140</v>
      </c>
      <c r="F184" s="61">
        <v>79800</v>
      </c>
      <c r="G184" s="61">
        <v>79800</v>
      </c>
      <c r="H184" s="61">
        <v>52820</v>
      </c>
      <c r="I184" s="61">
        <v>0</v>
      </c>
      <c r="J184" s="61">
        <v>0</v>
      </c>
      <c r="K184" s="61">
        <v>0</v>
      </c>
      <c r="L184" s="61"/>
      <c r="M184" s="62">
        <f>C184+F184</f>
        <v>23389430</v>
      </c>
    </row>
    <row r="185" spans="1:13" ht="121.5" customHeight="1">
      <c r="A185" s="59" t="s">
        <v>413</v>
      </c>
      <c r="B185" s="60" t="s">
        <v>761</v>
      </c>
      <c r="C185" s="61">
        <v>2026920</v>
      </c>
      <c r="D185" s="61">
        <v>0</v>
      </c>
      <c r="E185" s="61">
        <v>0</v>
      </c>
      <c r="F185" s="61">
        <v>0</v>
      </c>
      <c r="G185" s="61">
        <v>0</v>
      </c>
      <c r="H185" s="61">
        <v>0</v>
      </c>
      <c r="I185" s="61">
        <v>0</v>
      </c>
      <c r="J185" s="61">
        <v>0</v>
      </c>
      <c r="K185" s="61">
        <v>0</v>
      </c>
      <c r="L185" s="61"/>
      <c r="M185" s="62">
        <f>C185+F185</f>
        <v>2026920</v>
      </c>
    </row>
    <row r="186" spans="1:13" ht="121.5" customHeight="1">
      <c r="A186" s="59" t="s">
        <v>16</v>
      </c>
      <c r="B186" s="60" t="s">
        <v>360</v>
      </c>
      <c r="C186" s="61">
        <f>SUM(C187:C189)</f>
        <v>2642710</v>
      </c>
      <c r="D186" s="61">
        <v>0</v>
      </c>
      <c r="E186" s="61">
        <v>0</v>
      </c>
      <c r="F186" s="61">
        <v>0</v>
      </c>
      <c r="G186" s="61">
        <v>0</v>
      </c>
      <c r="H186" s="61">
        <v>0</v>
      </c>
      <c r="I186" s="61">
        <v>0</v>
      </c>
      <c r="J186" s="61">
        <v>0</v>
      </c>
      <c r="K186" s="61">
        <v>0</v>
      </c>
      <c r="L186" s="61"/>
      <c r="M186" s="62">
        <f>C186+F186</f>
        <v>2642710</v>
      </c>
    </row>
    <row r="187" spans="1:13" ht="66">
      <c r="A187" s="59"/>
      <c r="B187" s="60" t="s">
        <v>730</v>
      </c>
      <c r="C187" s="77">
        <v>2598630</v>
      </c>
      <c r="D187" s="61"/>
      <c r="E187" s="61"/>
      <c r="F187" s="61"/>
      <c r="G187" s="61"/>
      <c r="H187" s="61"/>
      <c r="I187" s="61"/>
      <c r="J187" s="61"/>
      <c r="K187" s="61"/>
      <c r="L187" s="61"/>
      <c r="M187" s="62">
        <f>SUM(C187)</f>
        <v>2598630</v>
      </c>
    </row>
    <row r="188" spans="1:13" ht="104.25" customHeight="1">
      <c r="A188" s="59"/>
      <c r="B188" s="60" t="s">
        <v>731</v>
      </c>
      <c r="C188" s="77">
        <v>40660</v>
      </c>
      <c r="D188" s="61"/>
      <c r="E188" s="61"/>
      <c r="F188" s="61"/>
      <c r="G188" s="61"/>
      <c r="H188" s="61"/>
      <c r="I188" s="61"/>
      <c r="J188" s="61"/>
      <c r="K188" s="61"/>
      <c r="L188" s="61"/>
      <c r="M188" s="62">
        <f>SUM(C188)</f>
        <v>40660</v>
      </c>
    </row>
    <row r="189" spans="1:13" ht="204.75" customHeight="1">
      <c r="A189" s="59"/>
      <c r="B189" s="60" t="s">
        <v>319</v>
      </c>
      <c r="C189" s="77">
        <v>3420</v>
      </c>
      <c r="D189" s="61"/>
      <c r="E189" s="61"/>
      <c r="F189" s="61"/>
      <c r="G189" s="61"/>
      <c r="H189" s="61"/>
      <c r="I189" s="61"/>
      <c r="J189" s="61"/>
      <c r="K189" s="61"/>
      <c r="L189" s="61"/>
      <c r="M189" s="62">
        <f>SUM(C189)</f>
        <v>3420</v>
      </c>
    </row>
    <row r="190" spans="1:13" ht="36" customHeight="1">
      <c r="A190" s="59" t="s">
        <v>414</v>
      </c>
      <c r="B190" s="60" t="s">
        <v>599</v>
      </c>
      <c r="C190" s="61">
        <v>485640</v>
      </c>
      <c r="D190" s="61">
        <v>0</v>
      </c>
      <c r="E190" s="61">
        <v>0</v>
      </c>
      <c r="F190" s="61">
        <v>0</v>
      </c>
      <c r="G190" s="61">
        <v>0</v>
      </c>
      <c r="H190" s="61">
        <v>0</v>
      </c>
      <c r="I190" s="61">
        <v>0</v>
      </c>
      <c r="J190" s="61">
        <v>0</v>
      </c>
      <c r="K190" s="61">
        <v>0</v>
      </c>
      <c r="L190" s="61"/>
      <c r="M190" s="62">
        <f>C190+F190</f>
        <v>485640</v>
      </c>
    </row>
    <row r="191" spans="1:13" ht="33">
      <c r="A191" s="59" t="s">
        <v>415</v>
      </c>
      <c r="B191" s="60" t="s">
        <v>722</v>
      </c>
      <c r="C191" s="61">
        <f>SUM(C192:C193)</f>
        <v>70427660</v>
      </c>
      <c r="D191" s="61">
        <v>0</v>
      </c>
      <c r="E191" s="61">
        <v>0</v>
      </c>
      <c r="F191" s="61">
        <v>0</v>
      </c>
      <c r="G191" s="61">
        <v>0</v>
      </c>
      <c r="H191" s="61">
        <v>0</v>
      </c>
      <c r="I191" s="61">
        <v>0</v>
      </c>
      <c r="J191" s="61">
        <v>0</v>
      </c>
      <c r="K191" s="61">
        <v>0</v>
      </c>
      <c r="L191" s="61"/>
      <c r="M191" s="62">
        <f>C191+F191</f>
        <v>70427660</v>
      </c>
    </row>
    <row r="192" spans="1:13" ht="33">
      <c r="A192" s="59"/>
      <c r="B192" s="60" t="s">
        <v>587</v>
      </c>
      <c r="C192" s="61">
        <v>13299354</v>
      </c>
      <c r="D192" s="61"/>
      <c r="E192" s="61"/>
      <c r="F192" s="61"/>
      <c r="G192" s="61"/>
      <c r="H192" s="61"/>
      <c r="I192" s="61"/>
      <c r="J192" s="61"/>
      <c r="K192" s="61"/>
      <c r="L192" s="61"/>
      <c r="M192" s="62">
        <f>SUM(C192)</f>
        <v>13299354</v>
      </c>
    </row>
    <row r="193" spans="1:13" ht="16.5">
      <c r="A193" s="59"/>
      <c r="B193" s="60" t="s">
        <v>588</v>
      </c>
      <c r="C193" s="61">
        <f>41898306+15230000</f>
        <v>57128306</v>
      </c>
      <c r="D193" s="61"/>
      <c r="E193" s="61"/>
      <c r="F193" s="61"/>
      <c r="G193" s="61"/>
      <c r="H193" s="61"/>
      <c r="I193" s="61"/>
      <c r="J193" s="61"/>
      <c r="K193" s="61"/>
      <c r="L193" s="61"/>
      <c r="M193" s="62">
        <f>SUM(C193)</f>
        <v>57128306</v>
      </c>
    </row>
    <row r="194" spans="1:13" ht="66">
      <c r="A194" s="59" t="s">
        <v>416</v>
      </c>
      <c r="B194" s="60" t="s">
        <v>219</v>
      </c>
      <c r="C194" s="61">
        <v>239172</v>
      </c>
      <c r="D194" s="61">
        <v>0</v>
      </c>
      <c r="E194" s="61">
        <v>0</v>
      </c>
      <c r="F194" s="61">
        <v>0</v>
      </c>
      <c r="G194" s="61">
        <v>0</v>
      </c>
      <c r="H194" s="61">
        <v>0</v>
      </c>
      <c r="I194" s="61">
        <v>0</v>
      </c>
      <c r="J194" s="61">
        <v>0</v>
      </c>
      <c r="K194" s="61">
        <v>0</v>
      </c>
      <c r="L194" s="61"/>
      <c r="M194" s="62">
        <f>C194+F194</f>
        <v>239172</v>
      </c>
    </row>
    <row r="195" spans="1:13" ht="33">
      <c r="A195" s="59" t="s">
        <v>417</v>
      </c>
      <c r="B195" s="60" t="s">
        <v>220</v>
      </c>
      <c r="C195" s="61">
        <v>4788</v>
      </c>
      <c r="D195" s="61">
        <v>0</v>
      </c>
      <c r="E195" s="61">
        <v>0</v>
      </c>
      <c r="F195" s="61">
        <v>0</v>
      </c>
      <c r="G195" s="61">
        <v>0</v>
      </c>
      <c r="H195" s="61">
        <v>0</v>
      </c>
      <c r="I195" s="61">
        <v>0</v>
      </c>
      <c r="J195" s="61">
        <v>0</v>
      </c>
      <c r="K195" s="61">
        <v>0</v>
      </c>
      <c r="L195" s="61"/>
      <c r="M195" s="62">
        <f>C195+F195</f>
        <v>4788</v>
      </c>
    </row>
    <row r="196" spans="1:13" ht="33">
      <c r="A196" s="59" t="s">
        <v>419</v>
      </c>
      <c r="B196" s="60" t="s">
        <v>702</v>
      </c>
      <c r="C196" s="61">
        <v>20900</v>
      </c>
      <c r="D196" s="61">
        <v>0</v>
      </c>
      <c r="E196" s="61">
        <v>0</v>
      </c>
      <c r="F196" s="61">
        <v>0</v>
      </c>
      <c r="G196" s="61">
        <v>0</v>
      </c>
      <c r="H196" s="61">
        <v>0</v>
      </c>
      <c r="I196" s="61">
        <v>0</v>
      </c>
      <c r="J196" s="61">
        <v>0</v>
      </c>
      <c r="K196" s="61">
        <v>0</v>
      </c>
      <c r="L196" s="61"/>
      <c r="M196" s="62">
        <f>C196+F196</f>
        <v>20900</v>
      </c>
    </row>
    <row r="197" spans="1:13" ht="49.5">
      <c r="A197" s="59" t="s">
        <v>420</v>
      </c>
      <c r="B197" s="60" t="s">
        <v>292</v>
      </c>
      <c r="C197" s="61">
        <f>SUM(C198:C199)</f>
        <v>1520000</v>
      </c>
      <c r="D197" s="61">
        <v>0</v>
      </c>
      <c r="E197" s="61">
        <v>0</v>
      </c>
      <c r="F197" s="61">
        <v>0</v>
      </c>
      <c r="G197" s="61">
        <v>0</v>
      </c>
      <c r="H197" s="61">
        <v>0</v>
      </c>
      <c r="I197" s="61">
        <v>0</v>
      </c>
      <c r="J197" s="61">
        <v>0</v>
      </c>
      <c r="K197" s="61">
        <v>0</v>
      </c>
      <c r="L197" s="61"/>
      <c r="M197" s="62">
        <f>C197+F197</f>
        <v>1520000</v>
      </c>
    </row>
    <row r="198" spans="1:13" ht="33">
      <c r="A198" s="59"/>
      <c r="B198" s="60" t="s">
        <v>587</v>
      </c>
      <c r="C198" s="61">
        <v>52060</v>
      </c>
      <c r="D198" s="61"/>
      <c r="E198" s="61"/>
      <c r="F198" s="61"/>
      <c r="G198" s="61"/>
      <c r="H198" s="61"/>
      <c r="I198" s="61"/>
      <c r="J198" s="61"/>
      <c r="K198" s="61"/>
      <c r="L198" s="61"/>
      <c r="M198" s="62">
        <f>SUM(C198)</f>
        <v>52060</v>
      </c>
    </row>
    <row r="199" spans="1:13" ht="16.5">
      <c r="A199" s="59"/>
      <c r="B199" s="60" t="s">
        <v>588</v>
      </c>
      <c r="C199" s="61">
        <v>1467940</v>
      </c>
      <c r="D199" s="61"/>
      <c r="E199" s="61"/>
      <c r="F199" s="61"/>
      <c r="G199" s="61"/>
      <c r="H199" s="61"/>
      <c r="I199" s="61"/>
      <c r="J199" s="61"/>
      <c r="K199" s="61"/>
      <c r="L199" s="61"/>
      <c r="M199" s="62">
        <f>SUM(C199)</f>
        <v>1467940</v>
      </c>
    </row>
    <row r="200" spans="1:13" ht="49.5">
      <c r="A200" s="59" t="s">
        <v>553</v>
      </c>
      <c r="B200" s="60" t="s">
        <v>293</v>
      </c>
      <c r="C200" s="61">
        <f>SUM(C201)</f>
        <v>1330000</v>
      </c>
      <c r="D200" s="61">
        <v>0</v>
      </c>
      <c r="E200" s="61">
        <v>0</v>
      </c>
      <c r="F200" s="61">
        <v>0</v>
      </c>
      <c r="G200" s="61">
        <v>0</v>
      </c>
      <c r="H200" s="61">
        <v>0</v>
      </c>
      <c r="I200" s="61">
        <v>0</v>
      </c>
      <c r="J200" s="61">
        <v>0</v>
      </c>
      <c r="K200" s="61">
        <v>0</v>
      </c>
      <c r="L200" s="61"/>
      <c r="M200" s="62">
        <f>C200+F200</f>
        <v>1330000</v>
      </c>
    </row>
    <row r="201" spans="1:13" ht="16.5">
      <c r="A201" s="59"/>
      <c r="B201" s="60" t="s">
        <v>588</v>
      </c>
      <c r="C201" s="61">
        <v>1330000</v>
      </c>
      <c r="D201" s="61"/>
      <c r="E201" s="61"/>
      <c r="F201" s="61"/>
      <c r="G201" s="61"/>
      <c r="H201" s="61"/>
      <c r="I201" s="61"/>
      <c r="J201" s="61"/>
      <c r="K201" s="61"/>
      <c r="L201" s="61"/>
      <c r="M201" s="62">
        <f>SUM(C201)</f>
        <v>1330000</v>
      </c>
    </row>
    <row r="202" spans="1:13" ht="49.5">
      <c r="A202" s="59" t="s">
        <v>554</v>
      </c>
      <c r="B202" s="60" t="s">
        <v>723</v>
      </c>
      <c r="C202" s="61">
        <f>SUM(C203:C204)</f>
        <v>23180000</v>
      </c>
      <c r="D202" s="61">
        <v>0</v>
      </c>
      <c r="E202" s="61">
        <v>0</v>
      </c>
      <c r="F202" s="61">
        <v>0</v>
      </c>
      <c r="G202" s="61">
        <v>0</v>
      </c>
      <c r="H202" s="61">
        <v>0</v>
      </c>
      <c r="I202" s="61">
        <v>0</v>
      </c>
      <c r="J202" s="61">
        <v>0</v>
      </c>
      <c r="K202" s="61">
        <v>0</v>
      </c>
      <c r="L202" s="61"/>
      <c r="M202" s="62">
        <f>C202+F202</f>
        <v>23180000</v>
      </c>
    </row>
    <row r="203" spans="1:13" ht="33">
      <c r="A203" s="59"/>
      <c r="B203" s="60" t="s">
        <v>587</v>
      </c>
      <c r="C203" s="61">
        <v>2757280</v>
      </c>
      <c r="D203" s="61"/>
      <c r="E203" s="61"/>
      <c r="F203" s="61"/>
      <c r="G203" s="61"/>
      <c r="H203" s="61"/>
      <c r="I203" s="61"/>
      <c r="J203" s="61"/>
      <c r="K203" s="61"/>
      <c r="L203" s="61"/>
      <c r="M203" s="62">
        <f>SUM(C203)</f>
        <v>2757280</v>
      </c>
    </row>
    <row r="204" spans="1:13" ht="16.5">
      <c r="A204" s="59"/>
      <c r="B204" s="60" t="s">
        <v>588</v>
      </c>
      <c r="C204" s="61">
        <v>20422720</v>
      </c>
      <c r="D204" s="61"/>
      <c r="E204" s="61"/>
      <c r="F204" s="61"/>
      <c r="G204" s="61"/>
      <c r="H204" s="61"/>
      <c r="I204" s="61"/>
      <c r="J204" s="61"/>
      <c r="K204" s="61"/>
      <c r="L204" s="61"/>
      <c r="M204" s="62">
        <f>SUM(C204)</f>
        <v>20422720</v>
      </c>
    </row>
    <row r="205" spans="1:13" ht="39" customHeight="1">
      <c r="A205" s="74">
        <v>180410</v>
      </c>
      <c r="B205" s="60" t="s">
        <v>322</v>
      </c>
      <c r="C205" s="61">
        <f>SUM(C206)</f>
        <v>8870.4</v>
      </c>
      <c r="D205" s="61"/>
      <c r="E205" s="61"/>
      <c r="F205" s="61"/>
      <c r="G205" s="61"/>
      <c r="H205" s="61"/>
      <c r="I205" s="61"/>
      <c r="J205" s="61"/>
      <c r="K205" s="61"/>
      <c r="L205" s="61"/>
      <c r="M205" s="62">
        <f>SUM(M206)</f>
        <v>8870.4</v>
      </c>
    </row>
    <row r="206" spans="1:13" ht="86.25" customHeight="1">
      <c r="A206" s="74"/>
      <c r="B206" s="60" t="s">
        <v>76</v>
      </c>
      <c r="C206" s="61">
        <v>8870.4</v>
      </c>
      <c r="D206" s="61"/>
      <c r="E206" s="61"/>
      <c r="F206" s="61"/>
      <c r="G206" s="61"/>
      <c r="H206" s="61"/>
      <c r="I206" s="61"/>
      <c r="J206" s="61"/>
      <c r="K206" s="61"/>
      <c r="L206" s="61"/>
      <c r="M206" s="62">
        <f>C206+F206</f>
        <v>8870.4</v>
      </c>
    </row>
    <row r="207" spans="1:13" ht="66">
      <c r="A207" s="59" t="s">
        <v>451</v>
      </c>
      <c r="B207" s="60" t="s">
        <v>762</v>
      </c>
      <c r="C207" s="61">
        <v>0</v>
      </c>
      <c r="D207" s="61">
        <v>0</v>
      </c>
      <c r="E207" s="61">
        <v>0</v>
      </c>
      <c r="F207" s="61">
        <f>SUM(F208)</f>
        <v>1063257</v>
      </c>
      <c r="G207" s="61">
        <f>SUM(G208)</f>
        <v>707957</v>
      </c>
      <c r="H207" s="61">
        <v>0</v>
      </c>
      <c r="I207" s="61">
        <v>0</v>
      </c>
      <c r="J207" s="61">
        <v>355300</v>
      </c>
      <c r="K207" s="61">
        <v>0</v>
      </c>
      <c r="L207" s="61"/>
      <c r="M207" s="62">
        <f>C207+F207</f>
        <v>1063257</v>
      </c>
    </row>
    <row r="208" spans="1:13" ht="33">
      <c r="A208" s="59"/>
      <c r="B208" s="60" t="s">
        <v>739</v>
      </c>
      <c r="C208" s="61"/>
      <c r="D208" s="61"/>
      <c r="E208" s="61"/>
      <c r="F208" s="61">
        <f>SUM(G208+J208)</f>
        <v>1063257</v>
      </c>
      <c r="G208" s="61">
        <f>907957-200000</f>
        <v>707957</v>
      </c>
      <c r="H208" s="61">
        <v>0</v>
      </c>
      <c r="I208" s="61">
        <v>0</v>
      </c>
      <c r="J208" s="61">
        <v>355300</v>
      </c>
      <c r="K208" s="61"/>
      <c r="L208" s="61"/>
      <c r="M208" s="62">
        <f>SUM(F208)</f>
        <v>1063257</v>
      </c>
    </row>
    <row r="209" spans="1:13" ht="16.5">
      <c r="A209" s="59" t="s">
        <v>452</v>
      </c>
      <c r="B209" s="60" t="s">
        <v>640</v>
      </c>
      <c r="C209" s="61">
        <v>1520</v>
      </c>
      <c r="D209" s="61">
        <v>0</v>
      </c>
      <c r="E209" s="61">
        <v>0</v>
      </c>
      <c r="F209" s="61">
        <v>0</v>
      </c>
      <c r="G209" s="61">
        <v>0</v>
      </c>
      <c r="H209" s="61">
        <v>0</v>
      </c>
      <c r="I209" s="61">
        <v>0</v>
      </c>
      <c r="J209" s="61">
        <v>0</v>
      </c>
      <c r="K209" s="61">
        <v>0</v>
      </c>
      <c r="L209" s="61"/>
      <c r="M209" s="62">
        <f>C209+F209</f>
        <v>1520</v>
      </c>
    </row>
    <row r="210" spans="1:13" ht="33">
      <c r="A210" s="56">
        <v>20</v>
      </c>
      <c r="B210" s="57" t="s">
        <v>760</v>
      </c>
      <c r="C210" s="58">
        <f>SUM(C211:C213)</f>
        <v>2745301.65</v>
      </c>
      <c r="D210" s="58">
        <f>SUM(D211:D213)</f>
        <v>2029732.52</v>
      </c>
      <c r="E210" s="58">
        <f>SUM(E211:E213)</f>
        <v>61820</v>
      </c>
      <c r="F210" s="58">
        <v>0</v>
      </c>
      <c r="G210" s="58">
        <v>0</v>
      </c>
      <c r="H210" s="58">
        <v>0</v>
      </c>
      <c r="I210" s="58">
        <v>0</v>
      </c>
      <c r="J210" s="58">
        <v>0</v>
      </c>
      <c r="K210" s="58">
        <v>0</v>
      </c>
      <c r="L210" s="58"/>
      <c r="M210" s="58">
        <f aca="true" t="shared" si="2" ref="M210:M272">C210+F210</f>
        <v>2745301.65</v>
      </c>
    </row>
    <row r="211" spans="1:13" ht="16.5">
      <c r="A211" s="59" t="s">
        <v>449</v>
      </c>
      <c r="B211" s="60" t="s">
        <v>706</v>
      </c>
      <c r="C211" s="61">
        <f>2175250+468669+18500</f>
        <v>2662419</v>
      </c>
      <c r="D211" s="61">
        <f>1652620+343851</f>
        <v>1996471</v>
      </c>
      <c r="E211" s="61">
        <f>43320+18500</f>
        <v>61820</v>
      </c>
      <c r="F211" s="61">
        <v>0</v>
      </c>
      <c r="G211" s="61">
        <v>0</v>
      </c>
      <c r="H211" s="61">
        <v>0</v>
      </c>
      <c r="I211" s="61">
        <v>0</v>
      </c>
      <c r="J211" s="61">
        <v>0</v>
      </c>
      <c r="K211" s="61">
        <v>0</v>
      </c>
      <c r="L211" s="61"/>
      <c r="M211" s="62">
        <f t="shared" si="2"/>
        <v>2662419</v>
      </c>
    </row>
    <row r="212" spans="1:13" ht="33">
      <c r="A212" s="59" t="s">
        <v>395</v>
      </c>
      <c r="B212" s="60" t="s">
        <v>542</v>
      </c>
      <c r="C212" s="61">
        <f>222680-176657.35</f>
        <v>46022.649999999994</v>
      </c>
      <c r="D212" s="61">
        <f>163020-129758.48</f>
        <v>33261.520000000004</v>
      </c>
      <c r="E212" s="61">
        <v>0</v>
      </c>
      <c r="F212" s="61">
        <v>0</v>
      </c>
      <c r="G212" s="61">
        <v>0</v>
      </c>
      <c r="H212" s="61">
        <v>0</v>
      </c>
      <c r="I212" s="61">
        <v>0</v>
      </c>
      <c r="J212" s="61">
        <v>0</v>
      </c>
      <c r="K212" s="61">
        <v>0</v>
      </c>
      <c r="L212" s="61"/>
      <c r="M212" s="62">
        <f t="shared" si="2"/>
        <v>46022.649999999994</v>
      </c>
    </row>
    <row r="213" spans="1:13" ht="49.5">
      <c r="A213" s="59" t="s">
        <v>465</v>
      </c>
      <c r="B213" s="60" t="s">
        <v>541</v>
      </c>
      <c r="C213" s="61">
        <v>36860</v>
      </c>
      <c r="D213" s="61">
        <v>0</v>
      </c>
      <c r="E213" s="61">
        <v>0</v>
      </c>
      <c r="F213" s="61">
        <v>0</v>
      </c>
      <c r="G213" s="61">
        <v>0</v>
      </c>
      <c r="H213" s="61">
        <v>0</v>
      </c>
      <c r="I213" s="61">
        <v>0</v>
      </c>
      <c r="J213" s="61">
        <v>0</v>
      </c>
      <c r="K213" s="61">
        <v>0</v>
      </c>
      <c r="L213" s="61"/>
      <c r="M213" s="62">
        <f t="shared" si="2"/>
        <v>36860</v>
      </c>
    </row>
    <row r="214" spans="1:13" ht="49.5">
      <c r="A214" s="56">
        <v>21</v>
      </c>
      <c r="B214" s="57" t="s">
        <v>597</v>
      </c>
      <c r="C214" s="58">
        <f>SUM(C215:C218)</f>
        <v>3300167</v>
      </c>
      <c r="D214" s="58">
        <f>SUM(D215:D218)</f>
        <v>1932001</v>
      </c>
      <c r="E214" s="58">
        <f>SUM(E215:E218)</f>
        <v>52820</v>
      </c>
      <c r="F214" s="58">
        <f>SUM(F219+F220)</f>
        <v>647507</v>
      </c>
      <c r="G214" s="58">
        <f>SUM(G220)</f>
        <v>115507</v>
      </c>
      <c r="H214" s="58">
        <v>0</v>
      </c>
      <c r="I214" s="58">
        <v>0</v>
      </c>
      <c r="J214" s="58">
        <f>SUM(J219)</f>
        <v>532000</v>
      </c>
      <c r="K214" s="58">
        <f>SUM(K219)</f>
        <v>532000</v>
      </c>
      <c r="L214" s="58"/>
      <c r="M214" s="58">
        <f t="shared" si="2"/>
        <v>3947674</v>
      </c>
    </row>
    <row r="215" spans="1:13" ht="16.5">
      <c r="A215" s="59" t="s">
        <v>449</v>
      </c>
      <c r="B215" s="60" t="s">
        <v>706</v>
      </c>
      <c r="C215" s="61">
        <f>2290457+452790-45000</f>
        <v>2698247</v>
      </c>
      <c r="D215" s="61">
        <f>1599800+332201</f>
        <v>1932001</v>
      </c>
      <c r="E215" s="61">
        <v>52820</v>
      </c>
      <c r="F215" s="61">
        <v>0</v>
      </c>
      <c r="G215" s="61">
        <v>0</v>
      </c>
      <c r="H215" s="61">
        <v>0</v>
      </c>
      <c r="I215" s="61">
        <v>0</v>
      </c>
      <c r="J215" s="61">
        <v>0</v>
      </c>
      <c r="K215" s="61">
        <v>0</v>
      </c>
      <c r="L215" s="61"/>
      <c r="M215" s="62">
        <f t="shared" si="2"/>
        <v>2698247</v>
      </c>
    </row>
    <row r="216" spans="1:13" ht="33">
      <c r="A216" s="59" t="s">
        <v>555</v>
      </c>
      <c r="B216" s="60" t="s">
        <v>410</v>
      </c>
      <c r="C216" s="61">
        <v>441560</v>
      </c>
      <c r="D216" s="61">
        <v>0</v>
      </c>
      <c r="E216" s="61">
        <v>0</v>
      </c>
      <c r="F216" s="61">
        <v>0</v>
      </c>
      <c r="G216" s="61">
        <v>0</v>
      </c>
      <c r="H216" s="61">
        <v>0</v>
      </c>
      <c r="I216" s="61">
        <v>0</v>
      </c>
      <c r="J216" s="61">
        <v>0</v>
      </c>
      <c r="K216" s="61">
        <v>0</v>
      </c>
      <c r="L216" s="61"/>
      <c r="M216" s="62">
        <f t="shared" si="2"/>
        <v>441560</v>
      </c>
    </row>
    <row r="217" spans="1:13" ht="33">
      <c r="A217" s="59" t="s">
        <v>419</v>
      </c>
      <c r="B217" s="60" t="s">
        <v>702</v>
      </c>
      <c r="C217" s="61">
        <v>146091</v>
      </c>
      <c r="D217" s="61">
        <v>0</v>
      </c>
      <c r="E217" s="61">
        <v>0</v>
      </c>
      <c r="F217" s="61">
        <v>0</v>
      </c>
      <c r="G217" s="61">
        <v>0</v>
      </c>
      <c r="H217" s="61">
        <v>0</v>
      </c>
      <c r="I217" s="61">
        <v>0</v>
      </c>
      <c r="J217" s="61">
        <v>0</v>
      </c>
      <c r="K217" s="61">
        <v>0</v>
      </c>
      <c r="L217" s="61"/>
      <c r="M217" s="62">
        <f t="shared" si="2"/>
        <v>146091</v>
      </c>
    </row>
    <row r="218" spans="1:13" ht="33">
      <c r="A218" s="59" t="s">
        <v>468</v>
      </c>
      <c r="B218" s="60" t="s">
        <v>764</v>
      </c>
      <c r="C218" s="61">
        <v>14269</v>
      </c>
      <c r="D218" s="61">
        <v>0</v>
      </c>
      <c r="E218" s="61">
        <v>0</v>
      </c>
      <c r="F218" s="61">
        <v>0</v>
      </c>
      <c r="G218" s="61">
        <v>0</v>
      </c>
      <c r="H218" s="61">
        <v>0</v>
      </c>
      <c r="I218" s="61">
        <v>0</v>
      </c>
      <c r="J218" s="61">
        <v>0</v>
      </c>
      <c r="K218" s="61">
        <v>0</v>
      </c>
      <c r="L218" s="61"/>
      <c r="M218" s="62">
        <f t="shared" si="2"/>
        <v>14269</v>
      </c>
    </row>
    <row r="219" spans="1:13" ht="16.5">
      <c r="A219" s="59" t="s">
        <v>584</v>
      </c>
      <c r="B219" s="60" t="s">
        <v>598</v>
      </c>
      <c r="C219" s="61">
        <v>0</v>
      </c>
      <c r="D219" s="61">
        <v>0</v>
      </c>
      <c r="E219" s="61">
        <v>0</v>
      </c>
      <c r="F219" s="61">
        <v>532000</v>
      </c>
      <c r="G219" s="61">
        <v>0</v>
      </c>
      <c r="H219" s="61">
        <v>0</v>
      </c>
      <c r="I219" s="61">
        <v>0</v>
      </c>
      <c r="J219" s="61">
        <v>532000</v>
      </c>
      <c r="K219" s="61">
        <v>532000</v>
      </c>
      <c r="L219" s="61"/>
      <c r="M219" s="62">
        <f t="shared" si="2"/>
        <v>532000</v>
      </c>
    </row>
    <row r="220" spans="1:13" ht="66">
      <c r="A220" s="59" t="s">
        <v>451</v>
      </c>
      <c r="B220" s="60" t="s">
        <v>762</v>
      </c>
      <c r="C220" s="61">
        <v>0</v>
      </c>
      <c r="D220" s="61">
        <v>0</v>
      </c>
      <c r="E220" s="61">
        <v>0</v>
      </c>
      <c r="F220" s="61">
        <f>SUM(F221)</f>
        <v>115507</v>
      </c>
      <c r="G220" s="61">
        <f>SUM(G221)</f>
        <v>115507</v>
      </c>
      <c r="H220" s="61">
        <v>0</v>
      </c>
      <c r="I220" s="61">
        <v>0</v>
      </c>
      <c r="J220" s="61">
        <v>0</v>
      </c>
      <c r="K220" s="61">
        <v>0</v>
      </c>
      <c r="L220" s="61"/>
      <c r="M220" s="62">
        <f t="shared" si="2"/>
        <v>115507</v>
      </c>
    </row>
    <row r="221" spans="1:13" ht="33">
      <c r="A221" s="70"/>
      <c r="B221" s="60" t="s">
        <v>739</v>
      </c>
      <c r="C221" s="61"/>
      <c r="D221" s="61"/>
      <c r="E221" s="61"/>
      <c r="F221" s="61">
        <f>SUM(G221)</f>
        <v>115507</v>
      </c>
      <c r="G221" s="61">
        <f>165612-50105</f>
        <v>115507</v>
      </c>
      <c r="H221" s="61"/>
      <c r="I221" s="61"/>
      <c r="J221" s="61"/>
      <c r="K221" s="61"/>
      <c r="L221" s="61"/>
      <c r="M221" s="62">
        <f>SUM(F221)</f>
        <v>115507</v>
      </c>
    </row>
    <row r="222" spans="1:13" ht="49.5">
      <c r="A222" s="56">
        <v>22</v>
      </c>
      <c r="B222" s="57" t="s">
        <v>633</v>
      </c>
      <c r="C222" s="58">
        <f>SUM(C223)</f>
        <v>822383</v>
      </c>
      <c r="D222" s="58">
        <f>SUM(D223)</f>
        <v>583170</v>
      </c>
      <c r="E222" s="58">
        <f>SUM(E223)</f>
        <v>17100</v>
      </c>
      <c r="F222" s="58">
        <v>0</v>
      </c>
      <c r="G222" s="58">
        <v>0</v>
      </c>
      <c r="H222" s="58">
        <v>0</v>
      </c>
      <c r="I222" s="58">
        <v>0</v>
      </c>
      <c r="J222" s="58">
        <v>0</v>
      </c>
      <c r="K222" s="58">
        <v>0</v>
      </c>
      <c r="L222" s="58"/>
      <c r="M222" s="58">
        <f t="shared" si="2"/>
        <v>822383</v>
      </c>
    </row>
    <row r="223" spans="1:13" ht="16.5">
      <c r="A223" s="59" t="s">
        <v>449</v>
      </c>
      <c r="B223" s="60" t="s">
        <v>706</v>
      </c>
      <c r="C223" s="61">
        <f>1060292+164691-402600</f>
        <v>822383</v>
      </c>
      <c r="D223" s="61">
        <f>662340+120830-200000</f>
        <v>583170</v>
      </c>
      <c r="E223" s="61">
        <v>17100</v>
      </c>
      <c r="F223" s="61">
        <v>0</v>
      </c>
      <c r="G223" s="61">
        <v>0</v>
      </c>
      <c r="H223" s="61">
        <v>0</v>
      </c>
      <c r="I223" s="61">
        <v>0</v>
      </c>
      <c r="J223" s="61">
        <v>0</v>
      </c>
      <c r="K223" s="61">
        <v>0</v>
      </c>
      <c r="L223" s="61"/>
      <c r="M223" s="62">
        <f t="shared" si="2"/>
        <v>822383</v>
      </c>
    </row>
    <row r="224" spans="1:13" ht="33">
      <c r="A224" s="56">
        <v>24</v>
      </c>
      <c r="B224" s="57" t="s">
        <v>645</v>
      </c>
      <c r="C224" s="58">
        <f>SUM(C225+C226+C234+C236+C238)</f>
        <v>83430599.94999999</v>
      </c>
      <c r="D224" s="58">
        <f>SUM(D225+D226)</f>
        <v>56673792</v>
      </c>
      <c r="E224" s="58">
        <f>SUM(E225+E226+E238)</f>
        <v>3261582.35</v>
      </c>
      <c r="F224" s="58">
        <f>SUM(F226+F233+F236)</f>
        <v>8896422</v>
      </c>
      <c r="G224" s="58">
        <f>SUM(G226+G236)</f>
        <v>7514742</v>
      </c>
      <c r="H224" s="58">
        <v>3373260</v>
      </c>
      <c r="I224" s="58">
        <v>83980</v>
      </c>
      <c r="J224" s="58">
        <f>SUM(J226+J233)</f>
        <v>1381680</v>
      </c>
      <c r="K224" s="58">
        <f>SUM(K233)</f>
        <v>1103140</v>
      </c>
      <c r="L224" s="58"/>
      <c r="M224" s="58">
        <f t="shared" si="2"/>
        <v>92327021.94999999</v>
      </c>
    </row>
    <row r="225" spans="1:13" ht="16.5">
      <c r="A225" s="59" t="s">
        <v>449</v>
      </c>
      <c r="B225" s="60" t="s">
        <v>706</v>
      </c>
      <c r="C225" s="61">
        <f>1361872+351030</f>
        <v>1712902</v>
      </c>
      <c r="D225" s="61">
        <f>954560+257542</f>
        <v>1212102</v>
      </c>
      <c r="E225" s="61">
        <v>45220</v>
      </c>
      <c r="F225" s="61">
        <v>0</v>
      </c>
      <c r="G225" s="61">
        <v>0</v>
      </c>
      <c r="H225" s="61">
        <v>0</v>
      </c>
      <c r="I225" s="61">
        <v>0</v>
      </c>
      <c r="J225" s="61">
        <v>0</v>
      </c>
      <c r="K225" s="61">
        <v>0</v>
      </c>
      <c r="L225" s="61"/>
      <c r="M225" s="62">
        <f t="shared" si="2"/>
        <v>1712902</v>
      </c>
    </row>
    <row r="226" spans="1:13" ht="16.5">
      <c r="A226" s="66" t="s">
        <v>418</v>
      </c>
      <c r="B226" s="78" t="s">
        <v>736</v>
      </c>
      <c r="C226" s="67">
        <f>SUM(C227:C232)</f>
        <v>81649610</v>
      </c>
      <c r="D226" s="67">
        <f>SUM(D227:D232)</f>
        <v>55461690</v>
      </c>
      <c r="E226" s="67">
        <f>SUM(E227:E232)</f>
        <v>3161580</v>
      </c>
      <c r="F226" s="67">
        <v>6410790</v>
      </c>
      <c r="G226" s="67">
        <v>6132250</v>
      </c>
      <c r="H226" s="67">
        <v>3373260</v>
      </c>
      <c r="I226" s="67">
        <v>83980</v>
      </c>
      <c r="J226" s="67">
        <f>SUM(J228+J229+J231)</f>
        <v>278540</v>
      </c>
      <c r="K226" s="67">
        <v>0</v>
      </c>
      <c r="L226" s="67"/>
      <c r="M226" s="68">
        <f t="shared" si="2"/>
        <v>88060400</v>
      </c>
    </row>
    <row r="227" spans="1:13" ht="16.5">
      <c r="A227" s="59" t="s">
        <v>556</v>
      </c>
      <c r="B227" s="60" t="s">
        <v>376</v>
      </c>
      <c r="C227" s="61">
        <v>988000</v>
      </c>
      <c r="D227" s="61">
        <v>0</v>
      </c>
      <c r="E227" s="61">
        <v>0</v>
      </c>
      <c r="F227" s="61">
        <v>0</v>
      </c>
      <c r="G227" s="61">
        <v>0</v>
      </c>
      <c r="H227" s="61">
        <v>0</v>
      </c>
      <c r="I227" s="61">
        <v>0</v>
      </c>
      <c r="J227" s="61">
        <v>0</v>
      </c>
      <c r="K227" s="61">
        <v>0</v>
      </c>
      <c r="L227" s="61"/>
      <c r="M227" s="62">
        <f t="shared" si="2"/>
        <v>988000</v>
      </c>
    </row>
    <row r="228" spans="1:13" ht="16.5">
      <c r="A228" s="59" t="s">
        <v>557</v>
      </c>
      <c r="B228" s="60" t="s">
        <v>377</v>
      </c>
      <c r="C228" s="61">
        <f>10374113+5543340</f>
        <v>15917453</v>
      </c>
      <c r="D228" s="61">
        <f>6748420+4070000</f>
        <v>10818420</v>
      </c>
      <c r="E228" s="61">
        <v>1093260</v>
      </c>
      <c r="F228" s="61">
        <v>233320</v>
      </c>
      <c r="G228" s="61">
        <v>195320</v>
      </c>
      <c r="H228" s="61">
        <v>9500</v>
      </c>
      <c r="I228" s="61">
        <v>0</v>
      </c>
      <c r="J228" s="61">
        <v>38000</v>
      </c>
      <c r="K228" s="61">
        <v>0</v>
      </c>
      <c r="L228" s="61"/>
      <c r="M228" s="62">
        <f t="shared" si="2"/>
        <v>16150773</v>
      </c>
    </row>
    <row r="229" spans="1:13" ht="16.5">
      <c r="A229" s="59" t="s">
        <v>558</v>
      </c>
      <c r="B229" s="60" t="s">
        <v>378</v>
      </c>
      <c r="C229" s="61">
        <f>4885518+3446880</f>
        <v>8332398</v>
      </c>
      <c r="D229" s="61">
        <f>3289280+2531000</f>
        <v>5820280</v>
      </c>
      <c r="E229" s="61">
        <v>384560</v>
      </c>
      <c r="F229" s="61">
        <v>912000</v>
      </c>
      <c r="G229" s="61">
        <v>709460</v>
      </c>
      <c r="H229" s="61">
        <v>57760</v>
      </c>
      <c r="I229" s="61">
        <v>11400</v>
      </c>
      <c r="J229" s="61">
        <v>202540</v>
      </c>
      <c r="K229" s="61">
        <v>0</v>
      </c>
      <c r="L229" s="61"/>
      <c r="M229" s="62">
        <f t="shared" si="2"/>
        <v>9244398</v>
      </c>
    </row>
    <row r="230" spans="1:13" ht="33">
      <c r="A230" s="59" t="s">
        <v>555</v>
      </c>
      <c r="B230" s="60" t="s">
        <v>410</v>
      </c>
      <c r="C230" s="61">
        <f>3822990+2994280</f>
        <v>6817270</v>
      </c>
      <c r="D230" s="61">
        <f>2626180+2198000</f>
        <v>4824180</v>
      </c>
      <c r="E230" s="61">
        <v>240920</v>
      </c>
      <c r="F230" s="61">
        <v>228570</v>
      </c>
      <c r="G230" s="61">
        <v>228570</v>
      </c>
      <c r="H230" s="61">
        <v>0</v>
      </c>
      <c r="I230" s="61">
        <v>33060</v>
      </c>
      <c r="J230" s="61">
        <v>0</v>
      </c>
      <c r="K230" s="61">
        <v>0</v>
      </c>
      <c r="L230" s="61"/>
      <c r="M230" s="62">
        <f t="shared" si="2"/>
        <v>7045840</v>
      </c>
    </row>
    <row r="231" spans="1:13" ht="16.5">
      <c r="A231" s="59" t="s">
        <v>559</v>
      </c>
      <c r="B231" s="60" t="s">
        <v>701</v>
      </c>
      <c r="C231" s="61">
        <f>27261171+17379800-37700+37700</f>
        <v>44640971</v>
      </c>
      <c r="D231" s="61">
        <f>19121220+12760500-20000-100000</f>
        <v>31761720</v>
      </c>
      <c r="E231" s="61">
        <f>1235380+37700+150000</f>
        <v>1423080</v>
      </c>
      <c r="F231" s="61">
        <v>5036900</v>
      </c>
      <c r="G231" s="61">
        <v>4998900</v>
      </c>
      <c r="H231" s="61">
        <v>3306000</v>
      </c>
      <c r="I231" s="61">
        <v>39520</v>
      </c>
      <c r="J231" s="61">
        <v>38000</v>
      </c>
      <c r="K231" s="61">
        <v>0</v>
      </c>
      <c r="L231" s="61"/>
      <c r="M231" s="62">
        <f t="shared" si="2"/>
        <v>49677871</v>
      </c>
    </row>
    <row r="232" spans="1:13" ht="33">
      <c r="A232" s="59" t="s">
        <v>419</v>
      </c>
      <c r="B232" s="60" t="s">
        <v>702</v>
      </c>
      <c r="C232" s="61">
        <f>3684918+1268600</f>
        <v>4953518</v>
      </c>
      <c r="D232" s="61">
        <f>1308340+928750</f>
        <v>2237090</v>
      </c>
      <c r="E232" s="61">
        <v>19760</v>
      </c>
      <c r="F232" s="61">
        <v>0</v>
      </c>
      <c r="G232" s="61">
        <v>0</v>
      </c>
      <c r="H232" s="61">
        <v>0</v>
      </c>
      <c r="I232" s="61">
        <v>0</v>
      </c>
      <c r="J232" s="61">
        <v>0</v>
      </c>
      <c r="K232" s="61">
        <v>0</v>
      </c>
      <c r="L232" s="61"/>
      <c r="M232" s="62">
        <f t="shared" si="2"/>
        <v>4953518</v>
      </c>
    </row>
    <row r="233" spans="1:13" ht="16.5">
      <c r="A233" s="59" t="s">
        <v>584</v>
      </c>
      <c r="B233" s="60" t="s">
        <v>598</v>
      </c>
      <c r="C233" s="61">
        <v>0</v>
      </c>
      <c r="D233" s="61">
        <v>0</v>
      </c>
      <c r="E233" s="61">
        <v>0</v>
      </c>
      <c r="F233" s="61">
        <v>1103140</v>
      </c>
      <c r="G233" s="61">
        <v>0</v>
      </c>
      <c r="H233" s="61">
        <v>0</v>
      </c>
      <c r="I233" s="61">
        <v>0</v>
      </c>
      <c r="J233" s="61">
        <v>1103140</v>
      </c>
      <c r="K233" s="61">
        <v>1103140</v>
      </c>
      <c r="L233" s="61"/>
      <c r="M233" s="62">
        <f t="shared" si="2"/>
        <v>1103140</v>
      </c>
    </row>
    <row r="234" spans="1:13" ht="34.5" customHeight="1">
      <c r="A234" s="74">
        <v>180410</v>
      </c>
      <c r="B234" s="60" t="s">
        <v>322</v>
      </c>
      <c r="C234" s="61">
        <f>SUM(C235)</f>
        <v>13305.6</v>
      </c>
      <c r="D234" s="61"/>
      <c r="E234" s="61"/>
      <c r="F234" s="61"/>
      <c r="G234" s="61"/>
      <c r="H234" s="61"/>
      <c r="I234" s="61"/>
      <c r="J234" s="61"/>
      <c r="K234" s="61"/>
      <c r="L234" s="61"/>
      <c r="M234" s="62">
        <f>SUM(M235)</f>
        <v>13305.6</v>
      </c>
    </row>
    <row r="235" spans="1:13" ht="87" customHeight="1">
      <c r="A235" s="74"/>
      <c r="B235" s="60" t="s">
        <v>76</v>
      </c>
      <c r="C235" s="61">
        <v>13305.6</v>
      </c>
      <c r="D235" s="61"/>
      <c r="E235" s="61"/>
      <c r="F235" s="61"/>
      <c r="G235" s="61"/>
      <c r="H235" s="61"/>
      <c r="I235" s="61"/>
      <c r="J235" s="61"/>
      <c r="K235" s="61"/>
      <c r="L235" s="61"/>
      <c r="M235" s="62">
        <f t="shared" si="2"/>
        <v>13305.6</v>
      </c>
    </row>
    <row r="236" spans="1:13" ht="66">
      <c r="A236" s="59" t="s">
        <v>451</v>
      </c>
      <c r="B236" s="60" t="s">
        <v>762</v>
      </c>
      <c r="C236" s="61">
        <v>0</v>
      </c>
      <c r="D236" s="61">
        <v>0</v>
      </c>
      <c r="E236" s="61">
        <v>0</v>
      </c>
      <c r="F236" s="61">
        <f>SUM(F237)</f>
        <v>1382492</v>
      </c>
      <c r="G236" s="61">
        <f>SUM(G237)</f>
        <v>1382492</v>
      </c>
      <c r="H236" s="61">
        <v>0</v>
      </c>
      <c r="I236" s="61">
        <v>0</v>
      </c>
      <c r="J236" s="61">
        <v>0</v>
      </c>
      <c r="K236" s="61">
        <v>0</v>
      </c>
      <c r="L236" s="61"/>
      <c r="M236" s="62">
        <f t="shared" si="2"/>
        <v>1382492</v>
      </c>
    </row>
    <row r="237" spans="1:13" ht="33">
      <c r="A237" s="70"/>
      <c r="B237" s="60" t="s">
        <v>739</v>
      </c>
      <c r="C237" s="61"/>
      <c r="D237" s="61"/>
      <c r="E237" s="61"/>
      <c r="F237" s="61">
        <f>SUM(G237)</f>
        <v>1382492</v>
      </c>
      <c r="G237" s="61">
        <f>1342492+40000</f>
        <v>1382492</v>
      </c>
      <c r="H237" s="61"/>
      <c r="I237" s="61"/>
      <c r="J237" s="61"/>
      <c r="K237" s="61"/>
      <c r="L237" s="61"/>
      <c r="M237" s="62">
        <f>SUM(F237)</f>
        <v>1382492</v>
      </c>
    </row>
    <row r="238" spans="1:13" ht="33">
      <c r="A238" s="101">
        <v>250404</v>
      </c>
      <c r="B238" s="60" t="s">
        <v>484</v>
      </c>
      <c r="C238" s="61">
        <v>54782.35</v>
      </c>
      <c r="D238" s="61"/>
      <c r="E238" s="61">
        <v>54782.35</v>
      </c>
      <c r="F238" s="61"/>
      <c r="G238" s="61"/>
      <c r="H238" s="61"/>
      <c r="I238" s="61"/>
      <c r="J238" s="61"/>
      <c r="K238" s="61"/>
      <c r="L238" s="61"/>
      <c r="M238" s="62">
        <f>SUM(C238)</f>
        <v>54782.35</v>
      </c>
    </row>
    <row r="239" spans="1:13" ht="16.5">
      <c r="A239" s="56">
        <v>29</v>
      </c>
      <c r="B239" s="57" t="s">
        <v>123</v>
      </c>
      <c r="C239" s="58">
        <f>SUM(C240+C241)</f>
        <v>2490193.2</v>
      </c>
      <c r="D239" s="58">
        <f>SUM(D240)</f>
        <v>1474767</v>
      </c>
      <c r="E239" s="58">
        <f>SUM(E240)</f>
        <v>218880</v>
      </c>
      <c r="F239" s="58">
        <v>176320</v>
      </c>
      <c r="G239" s="58">
        <v>62320</v>
      </c>
      <c r="H239" s="58">
        <v>0</v>
      </c>
      <c r="I239" s="58">
        <v>0</v>
      </c>
      <c r="J239" s="58">
        <f>SUM(J240)</f>
        <v>114000</v>
      </c>
      <c r="K239" s="58">
        <v>0</v>
      </c>
      <c r="L239" s="58"/>
      <c r="M239" s="58">
        <f t="shared" si="2"/>
        <v>2666513.2</v>
      </c>
    </row>
    <row r="240" spans="1:13" ht="16.5">
      <c r="A240" s="59" t="s">
        <v>449</v>
      </c>
      <c r="B240" s="60" t="s">
        <v>706</v>
      </c>
      <c r="C240" s="61">
        <f>2115967+369791</f>
        <v>2485758</v>
      </c>
      <c r="D240" s="61">
        <f>1203460+271307</f>
        <v>1474767</v>
      </c>
      <c r="E240" s="61">
        <v>218880</v>
      </c>
      <c r="F240" s="61">
        <v>176320</v>
      </c>
      <c r="G240" s="61">
        <v>62320</v>
      </c>
      <c r="H240" s="61">
        <v>0</v>
      </c>
      <c r="I240" s="61">
        <v>0</v>
      </c>
      <c r="J240" s="61">
        <v>114000</v>
      </c>
      <c r="K240" s="61">
        <v>0</v>
      </c>
      <c r="L240" s="61"/>
      <c r="M240" s="62">
        <f t="shared" si="2"/>
        <v>2662078</v>
      </c>
    </row>
    <row r="241" spans="1:13" ht="38.25" customHeight="1">
      <c r="A241" s="74">
        <v>180410</v>
      </c>
      <c r="B241" s="60" t="s">
        <v>322</v>
      </c>
      <c r="C241" s="61">
        <f>SUM(C242)</f>
        <v>4435.2</v>
      </c>
      <c r="D241" s="61"/>
      <c r="E241" s="61"/>
      <c r="F241" s="61"/>
      <c r="G241" s="61"/>
      <c r="H241" s="61"/>
      <c r="I241" s="61"/>
      <c r="J241" s="61"/>
      <c r="K241" s="61"/>
      <c r="L241" s="61"/>
      <c r="M241" s="62">
        <f>SUM(M242)</f>
        <v>4435.2</v>
      </c>
    </row>
    <row r="242" spans="1:13" ht="86.25" customHeight="1">
      <c r="A242" s="70"/>
      <c r="B242" s="60" t="s">
        <v>76</v>
      </c>
      <c r="C242" s="61">
        <v>4435.2</v>
      </c>
      <c r="D242" s="61"/>
      <c r="E242" s="61"/>
      <c r="F242" s="61"/>
      <c r="G242" s="61"/>
      <c r="H242" s="61"/>
      <c r="I242" s="61"/>
      <c r="J242" s="61"/>
      <c r="K242" s="61"/>
      <c r="L242" s="61"/>
      <c r="M242" s="62">
        <f>SUM(C242+F242)</f>
        <v>4435.2</v>
      </c>
    </row>
    <row r="243" spans="1:13" ht="33">
      <c r="A243" s="79">
        <v>32</v>
      </c>
      <c r="B243" s="57" t="s">
        <v>763</v>
      </c>
      <c r="C243" s="58">
        <f>SUM(C244+C245+C247+C249+C252)</f>
        <v>4869416.2</v>
      </c>
      <c r="D243" s="58">
        <f>SUM(D244:D249)</f>
        <v>3211562</v>
      </c>
      <c r="E243" s="58">
        <f>SUM(E244+E252)</f>
        <v>208380</v>
      </c>
      <c r="F243" s="58">
        <f>SUM(F244+F250)</f>
        <v>1340346</v>
      </c>
      <c r="G243" s="58">
        <f>SUM(G244+G250)</f>
        <v>1340346</v>
      </c>
      <c r="H243" s="58">
        <v>0</v>
      </c>
      <c r="I243" s="58">
        <v>43700</v>
      </c>
      <c r="J243" s="58">
        <v>0</v>
      </c>
      <c r="K243" s="58">
        <v>0</v>
      </c>
      <c r="L243" s="58"/>
      <c r="M243" s="58">
        <f t="shared" si="2"/>
        <v>6209762.2</v>
      </c>
    </row>
    <row r="244" spans="1:13" ht="16.5">
      <c r="A244" s="59" t="s">
        <v>449</v>
      </c>
      <c r="B244" s="60" t="s">
        <v>706</v>
      </c>
      <c r="C244" s="61">
        <f>3806108+816004</f>
        <v>4622112</v>
      </c>
      <c r="D244" s="61">
        <f>2612880+598682</f>
        <v>3211562</v>
      </c>
      <c r="E244" s="61">
        <v>171380</v>
      </c>
      <c r="F244" s="61">
        <v>109820</v>
      </c>
      <c r="G244" s="61">
        <v>109820</v>
      </c>
      <c r="H244" s="61">
        <v>0</v>
      </c>
      <c r="I244" s="61">
        <v>43700</v>
      </c>
      <c r="J244" s="61">
        <v>0</v>
      </c>
      <c r="K244" s="61">
        <v>0</v>
      </c>
      <c r="L244" s="61"/>
      <c r="M244" s="62">
        <f t="shared" si="2"/>
        <v>4731932</v>
      </c>
    </row>
    <row r="245" spans="1:13" ht="33">
      <c r="A245" s="59" t="s">
        <v>560</v>
      </c>
      <c r="B245" s="60" t="s">
        <v>423</v>
      </c>
      <c r="C245" s="61">
        <f>SUM(C246)</f>
        <v>167820</v>
      </c>
      <c r="D245" s="61">
        <v>0</v>
      </c>
      <c r="E245" s="61">
        <v>0</v>
      </c>
      <c r="F245" s="61">
        <v>0</v>
      </c>
      <c r="G245" s="61">
        <v>0</v>
      </c>
      <c r="H245" s="61">
        <v>0</v>
      </c>
      <c r="I245" s="61">
        <v>0</v>
      </c>
      <c r="J245" s="61">
        <v>0</v>
      </c>
      <c r="K245" s="61">
        <v>0</v>
      </c>
      <c r="L245" s="61"/>
      <c r="M245" s="62">
        <f t="shared" si="2"/>
        <v>167820</v>
      </c>
    </row>
    <row r="246" spans="1:13" ht="33">
      <c r="A246" s="59"/>
      <c r="B246" s="60" t="s">
        <v>577</v>
      </c>
      <c r="C246" s="61">
        <f>220020-52200</f>
        <v>167820</v>
      </c>
      <c r="D246" s="61"/>
      <c r="E246" s="61"/>
      <c r="F246" s="61"/>
      <c r="G246" s="61"/>
      <c r="H246" s="61"/>
      <c r="I246" s="61"/>
      <c r="J246" s="61"/>
      <c r="K246" s="61"/>
      <c r="L246" s="61"/>
      <c r="M246" s="62">
        <f>SUM(C246)</f>
        <v>167820</v>
      </c>
    </row>
    <row r="247" spans="1:13" ht="34.5" customHeight="1">
      <c r="A247" s="59" t="s">
        <v>450</v>
      </c>
      <c r="B247" s="60" t="s">
        <v>322</v>
      </c>
      <c r="C247" s="61">
        <f>SUM(C248)</f>
        <v>4435.2</v>
      </c>
      <c r="D247" s="61"/>
      <c r="E247" s="61"/>
      <c r="F247" s="61"/>
      <c r="G247" s="61"/>
      <c r="H247" s="61"/>
      <c r="I247" s="61"/>
      <c r="J247" s="61"/>
      <c r="K247" s="61"/>
      <c r="L247" s="61"/>
      <c r="M247" s="62">
        <f>SUM(M248)</f>
        <v>4435.2</v>
      </c>
    </row>
    <row r="248" spans="1:13" ht="87" customHeight="1">
      <c r="A248" s="59"/>
      <c r="B248" s="60" t="s">
        <v>76</v>
      </c>
      <c r="C248" s="61">
        <v>4435.2</v>
      </c>
      <c r="D248" s="61"/>
      <c r="E248" s="61"/>
      <c r="F248" s="61"/>
      <c r="G248" s="61"/>
      <c r="H248" s="61"/>
      <c r="I248" s="61"/>
      <c r="J248" s="61"/>
      <c r="K248" s="61"/>
      <c r="L248" s="61"/>
      <c r="M248" s="62">
        <f t="shared" si="2"/>
        <v>4435.2</v>
      </c>
    </row>
    <row r="249" spans="1:13" ht="49.5">
      <c r="A249" s="59" t="s">
        <v>561</v>
      </c>
      <c r="B249" s="60" t="s">
        <v>365</v>
      </c>
      <c r="C249" s="61">
        <v>38049</v>
      </c>
      <c r="D249" s="61">
        <v>0</v>
      </c>
      <c r="E249" s="61">
        <v>0</v>
      </c>
      <c r="F249" s="61">
        <v>0</v>
      </c>
      <c r="G249" s="61">
        <v>0</v>
      </c>
      <c r="H249" s="61">
        <v>0</v>
      </c>
      <c r="I249" s="61">
        <v>0</v>
      </c>
      <c r="J249" s="61">
        <v>0</v>
      </c>
      <c r="K249" s="61">
        <v>0</v>
      </c>
      <c r="L249" s="61"/>
      <c r="M249" s="62">
        <f t="shared" si="2"/>
        <v>38049</v>
      </c>
    </row>
    <row r="250" spans="1:13" ht="69.75" customHeight="1">
      <c r="A250" s="59" t="s">
        <v>451</v>
      </c>
      <c r="B250" s="60" t="s">
        <v>762</v>
      </c>
      <c r="C250" s="61">
        <v>0</v>
      </c>
      <c r="D250" s="61">
        <v>0</v>
      </c>
      <c r="E250" s="61">
        <v>0</v>
      </c>
      <c r="F250" s="61">
        <f>SUM(F251)</f>
        <v>1230526</v>
      </c>
      <c r="G250" s="61">
        <f>SUM(G251)</f>
        <v>1230526</v>
      </c>
      <c r="H250" s="61">
        <v>0</v>
      </c>
      <c r="I250" s="61">
        <v>0</v>
      </c>
      <c r="J250" s="61">
        <v>0</v>
      </c>
      <c r="K250" s="61">
        <v>0</v>
      </c>
      <c r="L250" s="61"/>
      <c r="M250" s="62">
        <f t="shared" si="2"/>
        <v>1230526</v>
      </c>
    </row>
    <row r="251" spans="1:13" ht="33">
      <c r="A251" s="70"/>
      <c r="B251" s="60" t="s">
        <v>739</v>
      </c>
      <c r="C251" s="61"/>
      <c r="D251" s="61"/>
      <c r="E251" s="61"/>
      <c r="F251" s="61">
        <f>SUM(G251)</f>
        <v>1230526</v>
      </c>
      <c r="G251" s="61">
        <f>1335526-105000</f>
        <v>1230526</v>
      </c>
      <c r="H251" s="61"/>
      <c r="I251" s="61"/>
      <c r="J251" s="61"/>
      <c r="K251" s="61"/>
      <c r="L251" s="61"/>
      <c r="M251" s="62">
        <f>SUM(F251)</f>
        <v>1230526</v>
      </c>
    </row>
    <row r="252" spans="1:13" ht="33">
      <c r="A252" s="101">
        <v>250404</v>
      </c>
      <c r="B252" s="60" t="s">
        <v>484</v>
      </c>
      <c r="C252" s="61">
        <v>37000</v>
      </c>
      <c r="D252" s="61"/>
      <c r="E252" s="61">
        <v>37000</v>
      </c>
      <c r="F252" s="61"/>
      <c r="G252" s="61"/>
      <c r="H252" s="61"/>
      <c r="I252" s="61"/>
      <c r="J252" s="61"/>
      <c r="K252" s="61"/>
      <c r="L252" s="61"/>
      <c r="M252" s="62">
        <f>SUM(C252)</f>
        <v>37000</v>
      </c>
    </row>
    <row r="253" spans="1:13" ht="33">
      <c r="A253" s="56">
        <v>40</v>
      </c>
      <c r="B253" s="57" t="s">
        <v>127</v>
      </c>
      <c r="C253" s="58">
        <f>SUM(C254+C255+C265+C270)</f>
        <v>106388850.2</v>
      </c>
      <c r="D253" s="58">
        <f>SUM(D254+D255+D265)</f>
        <v>6737030</v>
      </c>
      <c r="E253" s="58">
        <f>SUM(E254+E255+E265)</f>
        <v>5156486</v>
      </c>
      <c r="F253" s="58">
        <f>F256+F257+F258+F268</f>
        <v>107031397</v>
      </c>
      <c r="G253" s="58">
        <f>G258+G268</f>
        <v>21589492</v>
      </c>
      <c r="H253" s="58">
        <v>0</v>
      </c>
      <c r="I253" s="58">
        <v>0</v>
      </c>
      <c r="J253" s="58">
        <f>J256+J258+J268+J257</f>
        <v>85441905</v>
      </c>
      <c r="K253" s="58">
        <f>SUM(K256+K257)</f>
        <v>67326753</v>
      </c>
      <c r="L253" s="58"/>
      <c r="M253" s="58">
        <f t="shared" si="2"/>
        <v>213420247.2</v>
      </c>
    </row>
    <row r="254" spans="1:13" ht="16.5">
      <c r="A254" s="59" t="s">
        <v>449</v>
      </c>
      <c r="B254" s="60" t="s">
        <v>706</v>
      </c>
      <c r="C254" s="61">
        <f>8034598-154120+1828116</f>
        <v>9708594</v>
      </c>
      <c r="D254" s="61">
        <f>5508860-113074+1341244</f>
        <v>6737030</v>
      </c>
      <c r="E254" s="61">
        <v>248900</v>
      </c>
      <c r="F254" s="61">
        <v>0</v>
      </c>
      <c r="G254" s="61">
        <v>0</v>
      </c>
      <c r="H254" s="61">
        <v>0</v>
      </c>
      <c r="I254" s="61">
        <v>0</v>
      </c>
      <c r="J254" s="61">
        <v>0</v>
      </c>
      <c r="K254" s="61">
        <v>0</v>
      </c>
      <c r="L254" s="61"/>
      <c r="M254" s="62">
        <f t="shared" si="2"/>
        <v>9708594</v>
      </c>
    </row>
    <row r="255" spans="1:13" ht="16.5">
      <c r="A255" s="59" t="s">
        <v>562</v>
      </c>
      <c r="B255" s="80" t="s">
        <v>563</v>
      </c>
      <c r="C255" s="61">
        <f>63181576-60000+6457465</f>
        <v>69579041</v>
      </c>
      <c r="D255" s="61">
        <v>0</v>
      </c>
      <c r="E255" s="61">
        <v>4907586</v>
      </c>
      <c r="F255" s="61">
        <v>0</v>
      </c>
      <c r="G255" s="61">
        <v>0</v>
      </c>
      <c r="H255" s="61">
        <v>0</v>
      </c>
      <c r="I255" s="61">
        <v>0</v>
      </c>
      <c r="J255" s="61">
        <v>0</v>
      </c>
      <c r="K255" s="61">
        <v>0</v>
      </c>
      <c r="L255" s="61"/>
      <c r="M255" s="62">
        <f t="shared" si="2"/>
        <v>69579041</v>
      </c>
    </row>
    <row r="256" spans="1:13" ht="16.5">
      <c r="A256" s="59" t="s">
        <v>584</v>
      </c>
      <c r="B256" s="60" t="s">
        <v>598</v>
      </c>
      <c r="C256" s="61">
        <v>0</v>
      </c>
      <c r="D256" s="61">
        <v>0</v>
      </c>
      <c r="E256" s="61">
        <v>0</v>
      </c>
      <c r="F256" s="61">
        <v>64395753</v>
      </c>
      <c r="G256" s="61">
        <v>0</v>
      </c>
      <c r="H256" s="61">
        <v>0</v>
      </c>
      <c r="I256" s="61">
        <v>0</v>
      </c>
      <c r="J256" s="61">
        <v>64395753</v>
      </c>
      <c r="K256" s="61">
        <v>64395753</v>
      </c>
      <c r="L256" s="61"/>
      <c r="M256" s="62">
        <f t="shared" si="2"/>
        <v>64395753</v>
      </c>
    </row>
    <row r="257" spans="1:13" ht="42.75" customHeight="1">
      <c r="A257" s="59" t="s">
        <v>584</v>
      </c>
      <c r="B257" s="60" t="s">
        <v>356</v>
      </c>
      <c r="C257" s="61"/>
      <c r="D257" s="61"/>
      <c r="E257" s="61"/>
      <c r="F257" s="61">
        <v>2931000</v>
      </c>
      <c r="G257" s="61"/>
      <c r="H257" s="61"/>
      <c r="I257" s="61"/>
      <c r="J257" s="61">
        <v>2931000</v>
      </c>
      <c r="K257" s="61">
        <v>2931000</v>
      </c>
      <c r="L257" s="61"/>
      <c r="M257" s="62">
        <f>SUM(F257)</f>
        <v>2931000</v>
      </c>
    </row>
    <row r="258" spans="1:13" ht="49.5">
      <c r="A258" s="59" t="s">
        <v>550</v>
      </c>
      <c r="B258" s="60" t="s">
        <v>386</v>
      </c>
      <c r="C258" s="61">
        <v>0</v>
      </c>
      <c r="D258" s="61">
        <v>0</v>
      </c>
      <c r="E258" s="61">
        <v>0</v>
      </c>
      <c r="F258" s="61">
        <f>G258+J258</f>
        <v>19225433</v>
      </c>
      <c r="G258" s="61">
        <f>SUM(G259:G264)</f>
        <v>3444185</v>
      </c>
      <c r="H258" s="61">
        <v>0</v>
      </c>
      <c r="I258" s="61">
        <v>0</v>
      </c>
      <c r="J258" s="61">
        <v>15781248</v>
      </c>
      <c r="K258" s="61">
        <v>0</v>
      </c>
      <c r="L258" s="61"/>
      <c r="M258" s="62">
        <f t="shared" si="2"/>
        <v>19225433</v>
      </c>
    </row>
    <row r="259" spans="1:13" ht="49.5">
      <c r="A259" s="59"/>
      <c r="B259" s="60" t="s">
        <v>386</v>
      </c>
      <c r="C259" s="61"/>
      <c r="D259" s="61"/>
      <c r="E259" s="61"/>
      <c r="F259" s="77">
        <v>1464140</v>
      </c>
      <c r="G259" s="77">
        <v>1464140</v>
      </c>
      <c r="H259" s="77"/>
      <c r="I259" s="77"/>
      <c r="J259" s="77"/>
      <c r="K259" s="61"/>
      <c r="L259" s="61"/>
      <c r="M259" s="62">
        <f aca="true" t="shared" si="3" ref="M259:M264">SUM(F259)</f>
        <v>1464140</v>
      </c>
    </row>
    <row r="260" spans="1:13" ht="66.75" customHeight="1">
      <c r="A260" s="59"/>
      <c r="B260" s="60" t="s">
        <v>755</v>
      </c>
      <c r="C260" s="61"/>
      <c r="D260" s="61"/>
      <c r="E260" s="61"/>
      <c r="F260" s="77">
        <f>SUM(G260+J260)</f>
        <v>195309</v>
      </c>
      <c r="G260" s="77">
        <v>195309</v>
      </c>
      <c r="H260" s="77"/>
      <c r="I260" s="77"/>
      <c r="J260" s="77"/>
      <c r="K260" s="61"/>
      <c r="L260" s="61"/>
      <c r="M260" s="62">
        <f t="shared" si="3"/>
        <v>195309</v>
      </c>
    </row>
    <row r="261" spans="1:13" ht="67.5" customHeight="1">
      <c r="A261" s="59"/>
      <c r="B261" s="60" t="s">
        <v>379</v>
      </c>
      <c r="C261" s="61"/>
      <c r="D261" s="61"/>
      <c r="E261" s="61"/>
      <c r="F261" s="77">
        <f>SUM(G261+J261)</f>
        <v>1187394</v>
      </c>
      <c r="G261" s="77">
        <v>729171</v>
      </c>
      <c r="H261" s="77"/>
      <c r="I261" s="77"/>
      <c r="J261" s="77">
        <v>458223</v>
      </c>
      <c r="K261" s="61"/>
      <c r="L261" s="61"/>
      <c r="M261" s="62">
        <f t="shared" si="3"/>
        <v>1187394</v>
      </c>
    </row>
    <row r="262" spans="1:13" ht="68.25" customHeight="1">
      <c r="A262" s="59"/>
      <c r="B262" s="60" t="s">
        <v>570</v>
      </c>
      <c r="C262" s="61"/>
      <c r="D262" s="61"/>
      <c r="E262" s="61"/>
      <c r="F262" s="77">
        <f>SUM(G262+J262)</f>
        <v>9521766</v>
      </c>
      <c r="G262" s="77"/>
      <c r="H262" s="77"/>
      <c r="I262" s="77"/>
      <c r="J262" s="77">
        <v>9521766</v>
      </c>
      <c r="K262" s="61"/>
      <c r="L262" s="61"/>
      <c r="M262" s="62">
        <f t="shared" si="3"/>
        <v>9521766</v>
      </c>
    </row>
    <row r="263" spans="1:13" ht="68.25" customHeight="1">
      <c r="A263" s="59"/>
      <c r="B263" s="60" t="s">
        <v>347</v>
      </c>
      <c r="C263" s="61"/>
      <c r="D263" s="61"/>
      <c r="E263" s="61"/>
      <c r="F263" s="77">
        <f>SUM(G263+J263)</f>
        <v>532831</v>
      </c>
      <c r="G263" s="77">
        <v>310291</v>
      </c>
      <c r="H263" s="77"/>
      <c r="I263" s="77"/>
      <c r="J263" s="77">
        <v>222540</v>
      </c>
      <c r="K263" s="61"/>
      <c r="L263" s="61"/>
      <c r="M263" s="62">
        <f t="shared" si="3"/>
        <v>532831</v>
      </c>
    </row>
    <row r="264" spans="1:13" ht="69.75" customHeight="1">
      <c r="A264" s="59"/>
      <c r="B264" s="60" t="s">
        <v>348</v>
      </c>
      <c r="C264" s="61"/>
      <c r="D264" s="61"/>
      <c r="E264" s="61"/>
      <c r="F264" s="77">
        <f>SUM(G264+J264)</f>
        <v>6323993</v>
      </c>
      <c r="G264" s="77">
        <v>745274</v>
      </c>
      <c r="H264" s="77"/>
      <c r="I264" s="77"/>
      <c r="J264" s="77">
        <v>5578719</v>
      </c>
      <c r="K264" s="61"/>
      <c r="L264" s="61"/>
      <c r="M264" s="62">
        <f t="shared" si="3"/>
        <v>6323993</v>
      </c>
    </row>
    <row r="265" spans="1:13" ht="33">
      <c r="A265" s="59" t="s">
        <v>450</v>
      </c>
      <c r="B265" s="60" t="s">
        <v>322</v>
      </c>
      <c r="C265" s="61">
        <f>SUM(C266:C267)</f>
        <v>1838315.2</v>
      </c>
      <c r="D265" s="61">
        <v>0</v>
      </c>
      <c r="E265" s="61">
        <v>0</v>
      </c>
      <c r="F265" s="61">
        <v>0</v>
      </c>
      <c r="G265" s="61">
        <v>0</v>
      </c>
      <c r="H265" s="61">
        <v>0</v>
      </c>
      <c r="I265" s="61">
        <v>0</v>
      </c>
      <c r="J265" s="61">
        <v>0</v>
      </c>
      <c r="K265" s="61">
        <v>0</v>
      </c>
      <c r="L265" s="61"/>
      <c r="M265" s="62">
        <f t="shared" si="2"/>
        <v>1838315.2</v>
      </c>
    </row>
    <row r="266" spans="1:13" ht="72.75" customHeight="1">
      <c r="A266" s="59"/>
      <c r="B266" s="60" t="s">
        <v>133</v>
      </c>
      <c r="C266" s="61">
        <v>1833880</v>
      </c>
      <c r="D266" s="61"/>
      <c r="E266" s="61"/>
      <c r="F266" s="61"/>
      <c r="G266" s="61"/>
      <c r="H266" s="61"/>
      <c r="I266" s="61"/>
      <c r="J266" s="61"/>
      <c r="K266" s="61"/>
      <c r="L266" s="61"/>
      <c r="M266" s="62">
        <f>SUM(C266)</f>
        <v>1833880</v>
      </c>
    </row>
    <row r="267" spans="1:13" ht="86.25" customHeight="1">
      <c r="A267" s="59"/>
      <c r="B267" s="60" t="s">
        <v>76</v>
      </c>
      <c r="C267" s="61">
        <v>4435.2</v>
      </c>
      <c r="D267" s="61"/>
      <c r="E267" s="61"/>
      <c r="F267" s="61"/>
      <c r="G267" s="61"/>
      <c r="H267" s="61"/>
      <c r="I267" s="61"/>
      <c r="J267" s="61"/>
      <c r="K267" s="61"/>
      <c r="L267" s="61"/>
      <c r="M267" s="62">
        <f t="shared" si="2"/>
        <v>4435.2</v>
      </c>
    </row>
    <row r="268" spans="1:13" ht="66">
      <c r="A268" s="59" t="s">
        <v>451</v>
      </c>
      <c r="B268" s="60" t="s">
        <v>762</v>
      </c>
      <c r="C268" s="61">
        <v>0</v>
      </c>
      <c r="D268" s="61">
        <v>0</v>
      </c>
      <c r="E268" s="61">
        <v>0</v>
      </c>
      <c r="F268" s="61">
        <f>SUM(F269)</f>
        <v>20479211</v>
      </c>
      <c r="G268" s="61">
        <f>SUM(G269)</f>
        <v>18145307</v>
      </c>
      <c r="H268" s="61">
        <v>0</v>
      </c>
      <c r="I268" s="61">
        <v>0</v>
      </c>
      <c r="J268" s="61">
        <f>SUM(J269)</f>
        <v>2333904</v>
      </c>
      <c r="K268" s="61">
        <v>0</v>
      </c>
      <c r="L268" s="61"/>
      <c r="M268" s="62">
        <f t="shared" si="2"/>
        <v>20479211</v>
      </c>
    </row>
    <row r="269" spans="1:13" ht="33">
      <c r="A269" s="70"/>
      <c r="B269" s="60" t="s">
        <v>739</v>
      </c>
      <c r="C269" s="61"/>
      <c r="D269" s="61"/>
      <c r="E269" s="61"/>
      <c r="F269" s="61">
        <f>SUM(G269+J269)</f>
        <v>20479211</v>
      </c>
      <c r="G269" s="61">
        <f>26092772-1500000-6457465+10000</f>
        <v>18145307</v>
      </c>
      <c r="H269" s="61">
        <v>0</v>
      </c>
      <c r="I269" s="61">
        <v>0</v>
      </c>
      <c r="J269" s="61">
        <f>833904+1500000</f>
        <v>2333904</v>
      </c>
      <c r="K269" s="61"/>
      <c r="L269" s="61"/>
      <c r="M269" s="62">
        <f>SUM(F269)</f>
        <v>20479211</v>
      </c>
    </row>
    <row r="270" spans="1:13" ht="138" customHeight="1">
      <c r="A270" s="101">
        <v>250323</v>
      </c>
      <c r="B270" s="60" t="s">
        <v>753</v>
      </c>
      <c r="C270" s="61">
        <v>25262900</v>
      </c>
      <c r="D270" s="61"/>
      <c r="E270" s="61"/>
      <c r="F270" s="61"/>
      <c r="G270" s="61"/>
      <c r="H270" s="61"/>
      <c r="I270" s="61"/>
      <c r="J270" s="61"/>
      <c r="K270" s="61"/>
      <c r="L270" s="61"/>
      <c r="M270" s="62">
        <f>SUM(C270)</f>
        <v>25262900</v>
      </c>
    </row>
    <row r="271" spans="1:13" ht="33">
      <c r="A271" s="56">
        <v>47</v>
      </c>
      <c r="B271" s="57" t="s">
        <v>19</v>
      </c>
      <c r="C271" s="58">
        <f>SUM(C272+C276)</f>
        <v>4350013.2</v>
      </c>
      <c r="D271" s="58">
        <f>SUM(D272)</f>
        <v>3145921</v>
      </c>
      <c r="E271" s="58">
        <f>SUM(E272)</f>
        <v>93290</v>
      </c>
      <c r="F271" s="58">
        <f>F272+F273+F274+F276+F278</f>
        <v>157107035</v>
      </c>
      <c r="G271" s="58">
        <f>SUM(G272+G276)</f>
        <v>1375600</v>
      </c>
      <c r="H271" s="58">
        <v>476900</v>
      </c>
      <c r="I271" s="58">
        <v>131100</v>
      </c>
      <c r="J271" s="58">
        <f>SUM(J272+J273+J274+J278)</f>
        <v>155731435</v>
      </c>
      <c r="K271" s="58">
        <f>K272+K273+K275+K276+K274+K278</f>
        <v>155708635</v>
      </c>
      <c r="L271" s="58">
        <f>SUM(L278)</f>
        <v>51180000</v>
      </c>
      <c r="M271" s="58">
        <f t="shared" si="2"/>
        <v>161457048.2</v>
      </c>
    </row>
    <row r="272" spans="1:13" ht="16.5">
      <c r="A272" s="59" t="s">
        <v>449</v>
      </c>
      <c r="B272" s="60" t="s">
        <v>706</v>
      </c>
      <c r="C272" s="61">
        <f>3201500+497306+646772</f>
        <v>4345578</v>
      </c>
      <c r="D272" s="61">
        <f>2375000+296400+474521</f>
        <v>3145921</v>
      </c>
      <c r="E272" s="61">
        <v>93290</v>
      </c>
      <c r="F272" s="61">
        <v>950000</v>
      </c>
      <c r="G272" s="61">
        <v>927200</v>
      </c>
      <c r="H272" s="61">
        <v>476900</v>
      </c>
      <c r="I272" s="61">
        <v>131100</v>
      </c>
      <c r="J272" s="61">
        <v>22800</v>
      </c>
      <c r="K272" s="61">
        <v>0</v>
      </c>
      <c r="L272" s="61"/>
      <c r="M272" s="62">
        <f t="shared" si="2"/>
        <v>5295578</v>
      </c>
    </row>
    <row r="273" spans="1:13" ht="16.5">
      <c r="A273" s="59" t="s">
        <v>584</v>
      </c>
      <c r="B273" s="60" t="s">
        <v>598</v>
      </c>
      <c r="C273" s="61">
        <v>0</v>
      </c>
      <c r="D273" s="61">
        <v>0</v>
      </c>
      <c r="E273" s="61">
        <v>0</v>
      </c>
      <c r="F273" s="61">
        <v>86565835</v>
      </c>
      <c r="G273" s="61">
        <v>0</v>
      </c>
      <c r="H273" s="61">
        <v>0</v>
      </c>
      <c r="I273" s="61">
        <v>0</v>
      </c>
      <c r="J273" s="61">
        <v>86565835</v>
      </c>
      <c r="K273" s="61">
        <v>86565835</v>
      </c>
      <c r="L273" s="61"/>
      <c r="M273" s="62">
        <f aca="true" t="shared" si="4" ref="M273:M325">C273+F273</f>
        <v>86565835</v>
      </c>
    </row>
    <row r="274" spans="1:13" ht="39" customHeight="1">
      <c r="A274" s="59" t="s">
        <v>584</v>
      </c>
      <c r="B274" s="60" t="s">
        <v>356</v>
      </c>
      <c r="C274" s="61"/>
      <c r="D274" s="61"/>
      <c r="E274" s="61"/>
      <c r="F274" s="61">
        <v>17962800</v>
      </c>
      <c r="G274" s="61"/>
      <c r="H274" s="61"/>
      <c r="I274" s="61"/>
      <c r="J274" s="61">
        <v>17962800</v>
      </c>
      <c r="K274" s="61">
        <v>17962800</v>
      </c>
      <c r="L274" s="61"/>
      <c r="M274" s="62">
        <f>SUM(F274)</f>
        <v>17962800</v>
      </c>
    </row>
    <row r="275" spans="1:13" ht="153.75" customHeight="1">
      <c r="A275" s="74">
        <v>150104</v>
      </c>
      <c r="B275" s="63" t="s">
        <v>742</v>
      </c>
      <c r="C275" s="61"/>
      <c r="D275" s="61"/>
      <c r="E275" s="61"/>
      <c r="F275" s="61">
        <f>48180000+3000000-51180000</f>
        <v>0</v>
      </c>
      <c r="G275" s="61"/>
      <c r="H275" s="61"/>
      <c r="I275" s="61"/>
      <c r="J275" s="61">
        <f>48180000+3000000-51180000</f>
        <v>0</v>
      </c>
      <c r="K275" s="61">
        <f>48180000+3000000-51180000</f>
        <v>0</v>
      </c>
      <c r="L275" s="61">
        <f>51180000-51180000</f>
        <v>0</v>
      </c>
      <c r="M275" s="62">
        <f>SUM(F275)</f>
        <v>0</v>
      </c>
    </row>
    <row r="276" spans="1:13" ht="33">
      <c r="A276" s="59" t="s">
        <v>450</v>
      </c>
      <c r="B276" s="60" t="s">
        <v>322</v>
      </c>
      <c r="C276" s="61">
        <f>SUM(C277)</f>
        <v>4435.2</v>
      </c>
      <c r="D276" s="61">
        <v>0</v>
      </c>
      <c r="E276" s="61">
        <v>0</v>
      </c>
      <c r="F276" s="61">
        <v>448400</v>
      </c>
      <c r="G276" s="61">
        <v>448400</v>
      </c>
      <c r="H276" s="61">
        <v>0</v>
      </c>
      <c r="I276" s="61">
        <v>0</v>
      </c>
      <c r="J276" s="61">
        <v>0</v>
      </c>
      <c r="K276" s="61">
        <v>0</v>
      </c>
      <c r="L276" s="61"/>
      <c r="M276" s="62">
        <f t="shared" si="4"/>
        <v>452835.2</v>
      </c>
    </row>
    <row r="277" spans="1:13" ht="87" customHeight="1">
      <c r="A277" s="70"/>
      <c r="B277" s="60" t="s">
        <v>76</v>
      </c>
      <c r="C277" s="61">
        <v>4435.2</v>
      </c>
      <c r="D277" s="61"/>
      <c r="E277" s="61"/>
      <c r="F277" s="61"/>
      <c r="G277" s="61"/>
      <c r="H277" s="61"/>
      <c r="I277" s="61"/>
      <c r="J277" s="61"/>
      <c r="K277" s="61"/>
      <c r="L277" s="61"/>
      <c r="M277" s="62">
        <f>SUM(C277)</f>
        <v>4435.2</v>
      </c>
    </row>
    <row r="278" spans="1:13" ht="144" customHeight="1">
      <c r="A278" s="101">
        <v>250372</v>
      </c>
      <c r="B278" s="431" t="s">
        <v>77</v>
      </c>
      <c r="C278" s="61"/>
      <c r="D278" s="61"/>
      <c r="E278" s="61"/>
      <c r="F278" s="61">
        <f>G278+J278</f>
        <v>51180000</v>
      </c>
      <c r="G278" s="61"/>
      <c r="H278" s="61"/>
      <c r="I278" s="61"/>
      <c r="J278" s="61">
        <v>51180000</v>
      </c>
      <c r="K278" s="61">
        <v>51180000</v>
      </c>
      <c r="L278" s="61">
        <v>51180000</v>
      </c>
      <c r="M278" s="62">
        <f>SUM(F278)</f>
        <v>51180000</v>
      </c>
    </row>
    <row r="279" spans="1:14" ht="33">
      <c r="A279" s="56">
        <v>48</v>
      </c>
      <c r="B279" s="57" t="s">
        <v>380</v>
      </c>
      <c r="C279" s="58">
        <f>SUM(C280+C283)</f>
        <v>6657964.2</v>
      </c>
      <c r="D279" s="58">
        <f>SUM(D280)</f>
        <v>4457190</v>
      </c>
      <c r="E279" s="58">
        <v>139840</v>
      </c>
      <c r="F279" s="58">
        <f>SUM(F281+F282+F285+F286+F288)</f>
        <v>10413732</v>
      </c>
      <c r="G279" s="58">
        <f>SUM(G286)</f>
        <v>737776</v>
      </c>
      <c r="H279" s="58">
        <v>0</v>
      </c>
      <c r="I279" s="58">
        <v>0</v>
      </c>
      <c r="J279" s="58">
        <f>SUM(J281+J282+J285+J286+J288)</f>
        <v>9675956</v>
      </c>
      <c r="K279" s="58">
        <f>SUM(K281+K282+K288)</f>
        <v>2572146</v>
      </c>
      <c r="L279" s="58"/>
      <c r="M279" s="58">
        <f t="shared" si="4"/>
        <v>17071696.2</v>
      </c>
      <c r="N279" s="81"/>
    </row>
    <row r="280" spans="1:13" ht="16.5">
      <c r="A280" s="59" t="s">
        <v>449</v>
      </c>
      <c r="B280" s="60" t="s">
        <v>706</v>
      </c>
      <c r="C280" s="61">
        <f>5207868+578765-284425+1151321</f>
        <v>6653529</v>
      </c>
      <c r="D280" s="61">
        <f>3396440+424626-208572+844696</f>
        <v>4457190</v>
      </c>
      <c r="E280" s="61">
        <v>139840</v>
      </c>
      <c r="F280" s="61">
        <v>0</v>
      </c>
      <c r="G280" s="61">
        <v>0</v>
      </c>
      <c r="H280" s="61">
        <v>0</v>
      </c>
      <c r="I280" s="61">
        <v>0</v>
      </c>
      <c r="J280" s="61">
        <v>0</v>
      </c>
      <c r="K280" s="61">
        <v>0</v>
      </c>
      <c r="L280" s="61"/>
      <c r="M280" s="62">
        <f t="shared" si="4"/>
        <v>6653529</v>
      </c>
    </row>
    <row r="281" spans="1:13" ht="33">
      <c r="A281" s="59" t="s">
        <v>583</v>
      </c>
      <c r="B281" s="63" t="s">
        <v>738</v>
      </c>
      <c r="C281" s="61">
        <v>0</v>
      </c>
      <c r="D281" s="61">
        <v>0</v>
      </c>
      <c r="E281" s="61">
        <v>0</v>
      </c>
      <c r="F281" s="61">
        <v>2188346</v>
      </c>
      <c r="G281" s="61">
        <v>0</v>
      </c>
      <c r="H281" s="61">
        <v>0</v>
      </c>
      <c r="I281" s="61">
        <v>0</v>
      </c>
      <c r="J281" s="61">
        <v>2188346</v>
      </c>
      <c r="K281" s="61">
        <v>2188346</v>
      </c>
      <c r="L281" s="61"/>
      <c r="M281" s="62">
        <f t="shared" si="4"/>
        <v>2188346</v>
      </c>
    </row>
    <row r="282" spans="1:13" ht="16.5">
      <c r="A282" s="59" t="s">
        <v>564</v>
      </c>
      <c r="B282" s="82" t="s">
        <v>9</v>
      </c>
      <c r="C282" s="61">
        <v>0</v>
      </c>
      <c r="D282" s="61">
        <v>0</v>
      </c>
      <c r="E282" s="61">
        <v>0</v>
      </c>
      <c r="F282" s="61">
        <v>41800</v>
      </c>
      <c r="G282" s="61">
        <v>0</v>
      </c>
      <c r="H282" s="61">
        <v>0</v>
      </c>
      <c r="I282" s="61">
        <v>0</v>
      </c>
      <c r="J282" s="61">
        <v>41800</v>
      </c>
      <c r="K282" s="61">
        <v>41800</v>
      </c>
      <c r="L282" s="61"/>
      <c r="M282" s="62">
        <f t="shared" si="4"/>
        <v>41800</v>
      </c>
    </row>
    <row r="283" spans="1:13" ht="41.25" customHeight="1">
      <c r="A283" s="59" t="s">
        <v>450</v>
      </c>
      <c r="B283" s="60" t="s">
        <v>322</v>
      </c>
      <c r="C283" s="85">
        <f>SUM(C284)</f>
        <v>4435.2</v>
      </c>
      <c r="D283" s="61"/>
      <c r="E283" s="61"/>
      <c r="F283" s="61"/>
      <c r="G283" s="61"/>
      <c r="H283" s="61"/>
      <c r="I283" s="61"/>
      <c r="J283" s="61"/>
      <c r="K283" s="61"/>
      <c r="L283" s="61"/>
      <c r="M283" s="62">
        <f>SUM(M284)</f>
        <v>4435.2</v>
      </c>
    </row>
    <row r="284" spans="1:13" ht="87.75" customHeight="1">
      <c r="A284" s="83"/>
      <c r="B284" s="60" t="s">
        <v>76</v>
      </c>
      <c r="C284" s="85">
        <v>4435.2</v>
      </c>
      <c r="D284" s="61"/>
      <c r="E284" s="61"/>
      <c r="F284" s="61"/>
      <c r="G284" s="61"/>
      <c r="H284" s="61"/>
      <c r="I284" s="61"/>
      <c r="J284" s="61"/>
      <c r="K284" s="61"/>
      <c r="L284" s="61"/>
      <c r="M284" s="62">
        <f t="shared" si="4"/>
        <v>4435.2</v>
      </c>
    </row>
    <row r="285" spans="1:13" ht="16.5">
      <c r="A285" s="83" t="s">
        <v>565</v>
      </c>
      <c r="B285" s="84" t="s">
        <v>756</v>
      </c>
      <c r="C285" s="85">
        <v>0</v>
      </c>
      <c r="D285" s="61">
        <v>0</v>
      </c>
      <c r="E285" s="61">
        <v>0</v>
      </c>
      <c r="F285" s="61">
        <v>2459</v>
      </c>
      <c r="G285" s="61">
        <v>0</v>
      </c>
      <c r="H285" s="61">
        <v>0</v>
      </c>
      <c r="I285" s="61">
        <v>0</v>
      </c>
      <c r="J285" s="61">
        <v>2459</v>
      </c>
      <c r="K285" s="61">
        <v>0</v>
      </c>
      <c r="L285" s="61"/>
      <c r="M285" s="62">
        <f t="shared" si="4"/>
        <v>2459</v>
      </c>
    </row>
    <row r="286" spans="1:13" ht="66">
      <c r="A286" s="59" t="s">
        <v>451</v>
      </c>
      <c r="B286" s="86" t="s">
        <v>762</v>
      </c>
      <c r="C286" s="61">
        <v>0</v>
      </c>
      <c r="D286" s="61">
        <v>0</v>
      </c>
      <c r="E286" s="61">
        <v>0</v>
      </c>
      <c r="F286" s="61">
        <f>SUM(F287)</f>
        <v>7839127</v>
      </c>
      <c r="G286" s="61">
        <f>SUM(G287)</f>
        <v>737776</v>
      </c>
      <c r="H286" s="61">
        <v>0</v>
      </c>
      <c r="I286" s="61">
        <v>0</v>
      </c>
      <c r="J286" s="61">
        <v>7101351</v>
      </c>
      <c r="K286" s="61">
        <v>0</v>
      </c>
      <c r="L286" s="61"/>
      <c r="M286" s="62">
        <f t="shared" si="4"/>
        <v>7839127</v>
      </c>
    </row>
    <row r="287" spans="1:13" ht="33">
      <c r="A287" s="59"/>
      <c r="B287" s="60" t="s">
        <v>739</v>
      </c>
      <c r="C287" s="61"/>
      <c r="D287" s="61"/>
      <c r="E287" s="61"/>
      <c r="F287" s="61">
        <f>SUM(G287+J287)</f>
        <v>7839127</v>
      </c>
      <c r="G287" s="61">
        <f>727776+10000</f>
        <v>737776</v>
      </c>
      <c r="H287" s="61">
        <v>0</v>
      </c>
      <c r="I287" s="61">
        <v>0</v>
      </c>
      <c r="J287" s="61">
        <v>7101351</v>
      </c>
      <c r="K287" s="61"/>
      <c r="L287" s="61"/>
      <c r="M287" s="62">
        <f>SUM(F287)</f>
        <v>7839127</v>
      </c>
    </row>
    <row r="288" spans="1:13" ht="82.5">
      <c r="A288" s="59" t="s">
        <v>566</v>
      </c>
      <c r="B288" s="71" t="s">
        <v>12</v>
      </c>
      <c r="C288" s="61">
        <v>0</v>
      </c>
      <c r="D288" s="61">
        <v>0</v>
      </c>
      <c r="E288" s="61">
        <v>0</v>
      </c>
      <c r="F288" s="61">
        <v>342000</v>
      </c>
      <c r="G288" s="61">
        <v>0</v>
      </c>
      <c r="H288" s="61">
        <v>0</v>
      </c>
      <c r="I288" s="61">
        <v>0</v>
      </c>
      <c r="J288" s="61">
        <v>342000</v>
      </c>
      <c r="K288" s="61">
        <v>342000</v>
      </c>
      <c r="L288" s="61"/>
      <c r="M288" s="62">
        <f t="shared" si="4"/>
        <v>342000</v>
      </c>
    </row>
    <row r="289" spans="1:13" ht="56.25" customHeight="1">
      <c r="A289" s="56">
        <v>52</v>
      </c>
      <c r="B289" s="57" t="s">
        <v>345</v>
      </c>
      <c r="C289" s="58">
        <f>SUM(C290:C291)</f>
        <v>5043862.2</v>
      </c>
      <c r="D289" s="58">
        <f>SUM(D290:D291)</f>
        <v>3044393</v>
      </c>
      <c r="E289" s="58">
        <f>SUM(E290:E291)</f>
        <v>145160</v>
      </c>
      <c r="F289" s="58">
        <f>SUM(F295+F296)</f>
        <v>2381840</v>
      </c>
      <c r="G289" s="58">
        <v>1736448</v>
      </c>
      <c r="H289" s="58">
        <v>0</v>
      </c>
      <c r="I289" s="58">
        <v>0</v>
      </c>
      <c r="J289" s="58">
        <f>SUM(J295+J296)</f>
        <v>635392</v>
      </c>
      <c r="K289" s="58">
        <v>0</v>
      </c>
      <c r="L289" s="58"/>
      <c r="M289" s="58">
        <f t="shared" si="4"/>
        <v>7425702.2</v>
      </c>
    </row>
    <row r="290" spans="1:13" ht="16.5">
      <c r="A290" s="59" t="s">
        <v>449</v>
      </c>
      <c r="B290" s="60" t="s">
        <v>706</v>
      </c>
      <c r="C290" s="61">
        <f>3741876+816046</f>
        <v>4557922</v>
      </c>
      <c r="D290" s="61">
        <f>2445680+598713</f>
        <v>3044393</v>
      </c>
      <c r="E290" s="61">
        <v>145160</v>
      </c>
      <c r="F290" s="61">
        <v>0</v>
      </c>
      <c r="G290" s="61">
        <v>0</v>
      </c>
      <c r="H290" s="61">
        <v>0</v>
      </c>
      <c r="I290" s="61">
        <v>0</v>
      </c>
      <c r="J290" s="61">
        <v>0</v>
      </c>
      <c r="K290" s="61">
        <v>0</v>
      </c>
      <c r="L290" s="61"/>
      <c r="M290" s="62">
        <f t="shared" si="4"/>
        <v>4557922</v>
      </c>
    </row>
    <row r="291" spans="1:13" ht="33">
      <c r="A291" s="59" t="s">
        <v>450</v>
      </c>
      <c r="B291" s="60" t="s">
        <v>322</v>
      </c>
      <c r="C291" s="61">
        <f>SUM(C292:C294)</f>
        <v>485940.2</v>
      </c>
      <c r="D291" s="61">
        <v>0</v>
      </c>
      <c r="E291" s="61">
        <v>0</v>
      </c>
      <c r="F291" s="61">
        <v>0</v>
      </c>
      <c r="G291" s="61">
        <v>0</v>
      </c>
      <c r="H291" s="61">
        <v>0</v>
      </c>
      <c r="I291" s="61">
        <v>0</v>
      </c>
      <c r="J291" s="61">
        <v>0</v>
      </c>
      <c r="K291" s="61">
        <v>0</v>
      </c>
      <c r="L291" s="61"/>
      <c r="M291" s="62">
        <f t="shared" si="4"/>
        <v>485940.2</v>
      </c>
    </row>
    <row r="292" spans="1:13" ht="49.5">
      <c r="A292" s="59"/>
      <c r="B292" s="87" t="s">
        <v>11</v>
      </c>
      <c r="C292" s="61">
        <v>325178</v>
      </c>
      <c r="D292" s="61"/>
      <c r="E292" s="61"/>
      <c r="F292" s="61"/>
      <c r="G292" s="61"/>
      <c r="H292" s="61"/>
      <c r="I292" s="61"/>
      <c r="J292" s="61"/>
      <c r="K292" s="61"/>
      <c r="L292" s="61"/>
      <c r="M292" s="62">
        <f>SUM(C292)</f>
        <v>325178</v>
      </c>
    </row>
    <row r="293" spans="1:13" ht="33">
      <c r="A293" s="59"/>
      <c r="B293" s="60" t="s">
        <v>374</v>
      </c>
      <c r="C293" s="61">
        <v>156327</v>
      </c>
      <c r="D293" s="61"/>
      <c r="E293" s="61"/>
      <c r="F293" s="61"/>
      <c r="G293" s="61"/>
      <c r="H293" s="61"/>
      <c r="I293" s="61"/>
      <c r="J293" s="61"/>
      <c r="K293" s="61"/>
      <c r="L293" s="61"/>
      <c r="M293" s="62">
        <f>SUM(C293)</f>
        <v>156327</v>
      </c>
    </row>
    <row r="294" spans="1:13" ht="87.75" customHeight="1">
      <c r="A294" s="59"/>
      <c r="B294" s="60" t="s">
        <v>76</v>
      </c>
      <c r="C294" s="61">
        <v>4435.2</v>
      </c>
      <c r="D294" s="61"/>
      <c r="E294" s="61"/>
      <c r="F294" s="61"/>
      <c r="G294" s="61"/>
      <c r="H294" s="61"/>
      <c r="I294" s="61"/>
      <c r="J294" s="61"/>
      <c r="K294" s="61"/>
      <c r="L294" s="61"/>
      <c r="M294" s="62">
        <f t="shared" si="4"/>
        <v>4435.2</v>
      </c>
    </row>
    <row r="295" spans="1:13" ht="33">
      <c r="A295" s="59" t="s">
        <v>463</v>
      </c>
      <c r="B295" s="60" t="s">
        <v>445</v>
      </c>
      <c r="C295" s="61">
        <v>0</v>
      </c>
      <c r="D295" s="61">
        <v>0</v>
      </c>
      <c r="E295" s="61">
        <v>0</v>
      </c>
      <c r="F295" s="61">
        <v>450142</v>
      </c>
      <c r="G295" s="61">
        <v>0</v>
      </c>
      <c r="H295" s="61">
        <v>0</v>
      </c>
      <c r="I295" s="61">
        <v>0</v>
      </c>
      <c r="J295" s="61">
        <v>450142</v>
      </c>
      <c r="K295" s="61">
        <v>0</v>
      </c>
      <c r="L295" s="61"/>
      <c r="M295" s="62">
        <f t="shared" si="4"/>
        <v>450142</v>
      </c>
    </row>
    <row r="296" spans="1:13" ht="66">
      <c r="A296" s="59" t="s">
        <v>451</v>
      </c>
      <c r="B296" s="60" t="s">
        <v>762</v>
      </c>
      <c r="C296" s="61">
        <v>0</v>
      </c>
      <c r="D296" s="61">
        <v>0</v>
      </c>
      <c r="E296" s="61">
        <v>0</v>
      </c>
      <c r="F296" s="61">
        <f>SUM(F297)</f>
        <v>1931698</v>
      </c>
      <c r="G296" s="61">
        <f>SUM(G297)</f>
        <v>1746448</v>
      </c>
      <c r="H296" s="61">
        <v>0</v>
      </c>
      <c r="I296" s="61">
        <v>0</v>
      </c>
      <c r="J296" s="61">
        <v>185250</v>
      </c>
      <c r="K296" s="61">
        <v>0</v>
      </c>
      <c r="L296" s="61"/>
      <c r="M296" s="62">
        <f t="shared" si="4"/>
        <v>1931698</v>
      </c>
    </row>
    <row r="297" spans="1:13" ht="33">
      <c r="A297" s="70"/>
      <c r="B297" s="60" t="s">
        <v>739</v>
      </c>
      <c r="C297" s="61"/>
      <c r="D297" s="61"/>
      <c r="E297" s="61"/>
      <c r="F297" s="61">
        <f>SUM(G297+J297)</f>
        <v>1931698</v>
      </c>
      <c r="G297" s="61">
        <f>1736448+10000</f>
        <v>1746448</v>
      </c>
      <c r="H297" s="61">
        <v>0</v>
      </c>
      <c r="I297" s="61">
        <v>0</v>
      </c>
      <c r="J297" s="61">
        <v>185250</v>
      </c>
      <c r="K297" s="61"/>
      <c r="L297" s="61"/>
      <c r="M297" s="62">
        <f>SUM(F297)</f>
        <v>1931698</v>
      </c>
    </row>
    <row r="298" spans="1:13" ht="99">
      <c r="A298" s="56">
        <v>68</v>
      </c>
      <c r="B298" s="57" t="s">
        <v>287</v>
      </c>
      <c r="C298" s="58">
        <f>SUM(C299+C300+C302)</f>
        <v>2226527</v>
      </c>
      <c r="D298" s="58">
        <f>SUM(D299+D300+D302)</f>
        <v>1495242</v>
      </c>
      <c r="E298" s="58">
        <f>SUM(E299+E300+E302)</f>
        <v>20140</v>
      </c>
      <c r="F298" s="58">
        <v>167200</v>
      </c>
      <c r="G298" s="58">
        <v>167200</v>
      </c>
      <c r="H298" s="58">
        <v>0</v>
      </c>
      <c r="I298" s="58">
        <v>0</v>
      </c>
      <c r="J298" s="58">
        <v>0</v>
      </c>
      <c r="K298" s="58">
        <v>0</v>
      </c>
      <c r="L298" s="58"/>
      <c r="M298" s="58">
        <f t="shared" si="4"/>
        <v>2393727</v>
      </c>
    </row>
    <row r="299" spans="1:13" ht="16.5">
      <c r="A299" s="59" t="s">
        <v>449</v>
      </c>
      <c r="B299" s="60" t="s">
        <v>706</v>
      </c>
      <c r="C299" s="61">
        <f>1851427+374909</f>
        <v>2226336</v>
      </c>
      <c r="D299" s="61">
        <f>1220180+275062</f>
        <v>1495242</v>
      </c>
      <c r="E299" s="61">
        <v>20140</v>
      </c>
      <c r="F299" s="61">
        <v>0</v>
      </c>
      <c r="G299" s="61">
        <v>0</v>
      </c>
      <c r="H299" s="61">
        <v>0</v>
      </c>
      <c r="I299" s="61">
        <v>0</v>
      </c>
      <c r="J299" s="61">
        <v>0</v>
      </c>
      <c r="K299" s="61">
        <v>0</v>
      </c>
      <c r="L299" s="61"/>
      <c r="M299" s="62">
        <f t="shared" si="4"/>
        <v>2226336</v>
      </c>
    </row>
    <row r="300" spans="1:13" ht="49.5">
      <c r="A300" s="59" t="s">
        <v>27</v>
      </c>
      <c r="B300" s="88" t="s">
        <v>634</v>
      </c>
      <c r="C300" s="61">
        <f>SUM(C301)</f>
        <v>131</v>
      </c>
      <c r="D300" s="61">
        <v>0</v>
      </c>
      <c r="E300" s="61">
        <v>0</v>
      </c>
      <c r="F300" s="61">
        <v>0</v>
      </c>
      <c r="G300" s="61">
        <v>0</v>
      </c>
      <c r="H300" s="61">
        <v>0</v>
      </c>
      <c r="I300" s="61">
        <v>0</v>
      </c>
      <c r="J300" s="61">
        <v>0</v>
      </c>
      <c r="K300" s="61">
        <v>0</v>
      </c>
      <c r="L300" s="61"/>
      <c r="M300" s="62">
        <f t="shared" si="4"/>
        <v>131</v>
      </c>
    </row>
    <row r="301" spans="1:13" ht="49.5">
      <c r="A301" s="59"/>
      <c r="B301" s="89" t="s">
        <v>602</v>
      </c>
      <c r="C301" s="61">
        <f>87031-86900</f>
        <v>131</v>
      </c>
      <c r="D301" s="61"/>
      <c r="E301" s="61"/>
      <c r="F301" s="61"/>
      <c r="G301" s="61"/>
      <c r="H301" s="61"/>
      <c r="I301" s="61"/>
      <c r="J301" s="61"/>
      <c r="K301" s="61"/>
      <c r="L301" s="61"/>
      <c r="M301" s="62">
        <f>SUM(C301)</f>
        <v>131</v>
      </c>
    </row>
    <row r="302" spans="1:13" ht="33">
      <c r="A302" s="59" t="s">
        <v>462</v>
      </c>
      <c r="B302" s="88" t="s">
        <v>578</v>
      </c>
      <c r="C302" s="61">
        <f>161660-131100-30500</f>
        <v>60</v>
      </c>
      <c r="D302" s="61">
        <v>0</v>
      </c>
      <c r="E302" s="61">
        <v>0</v>
      </c>
      <c r="F302" s="61">
        <v>0</v>
      </c>
      <c r="G302" s="61">
        <v>0</v>
      </c>
      <c r="H302" s="61">
        <v>0</v>
      </c>
      <c r="I302" s="61">
        <v>0</v>
      </c>
      <c r="J302" s="61">
        <v>0</v>
      </c>
      <c r="K302" s="61">
        <v>0</v>
      </c>
      <c r="L302" s="61"/>
      <c r="M302" s="62">
        <f t="shared" si="4"/>
        <v>60</v>
      </c>
    </row>
    <row r="303" spans="1:13" ht="66">
      <c r="A303" s="59" t="s">
        <v>451</v>
      </c>
      <c r="B303" s="60" t="s">
        <v>762</v>
      </c>
      <c r="C303" s="61">
        <v>0</v>
      </c>
      <c r="D303" s="61">
        <v>0</v>
      </c>
      <c r="E303" s="61">
        <v>0</v>
      </c>
      <c r="F303" s="61">
        <v>167200</v>
      </c>
      <c r="G303" s="61">
        <v>167200</v>
      </c>
      <c r="H303" s="61">
        <v>0</v>
      </c>
      <c r="I303" s="61">
        <v>0</v>
      </c>
      <c r="J303" s="61">
        <v>0</v>
      </c>
      <c r="K303" s="61">
        <v>0</v>
      </c>
      <c r="L303" s="61"/>
      <c r="M303" s="62">
        <f t="shared" si="4"/>
        <v>167200</v>
      </c>
    </row>
    <row r="304" spans="1:13" ht="33">
      <c r="A304" s="70"/>
      <c r="B304" s="60" t="s">
        <v>739</v>
      </c>
      <c r="C304" s="61"/>
      <c r="D304" s="61"/>
      <c r="E304" s="61"/>
      <c r="F304" s="61">
        <v>167200</v>
      </c>
      <c r="G304" s="61">
        <v>167200</v>
      </c>
      <c r="H304" s="61"/>
      <c r="I304" s="61"/>
      <c r="J304" s="61"/>
      <c r="K304" s="61"/>
      <c r="L304" s="61"/>
      <c r="M304" s="62">
        <f>SUM(F304)</f>
        <v>167200</v>
      </c>
    </row>
    <row r="305" spans="1:13" ht="49.5">
      <c r="A305" s="56">
        <v>75</v>
      </c>
      <c r="B305" s="57" t="s">
        <v>126</v>
      </c>
      <c r="C305" s="58">
        <f>SUM(C306+C307+C310+C312)</f>
        <v>14787801</v>
      </c>
      <c r="D305" s="58">
        <f>SUM(D306+D307)</f>
        <v>9596345</v>
      </c>
      <c r="E305" s="58">
        <v>292220</v>
      </c>
      <c r="F305" s="58">
        <f>SUM(F306)</f>
        <v>134800</v>
      </c>
      <c r="G305" s="58">
        <v>79800</v>
      </c>
      <c r="H305" s="58">
        <v>0</v>
      </c>
      <c r="I305" s="58">
        <v>0</v>
      </c>
      <c r="J305" s="58">
        <f>SUM(J306)</f>
        <v>55000</v>
      </c>
      <c r="K305" s="58">
        <f>SUM(K306)</f>
        <v>55000</v>
      </c>
      <c r="L305" s="58">
        <f>SUM(L306)</f>
        <v>55000</v>
      </c>
      <c r="M305" s="58">
        <f t="shared" si="4"/>
        <v>14922601</v>
      </c>
    </row>
    <row r="306" spans="1:13" ht="16.5">
      <c r="A306" s="59" t="s">
        <v>449</v>
      </c>
      <c r="B306" s="60" t="s">
        <v>706</v>
      </c>
      <c r="C306" s="61">
        <f>11001760-166152+166152+2947358+19603</f>
        <v>13968721</v>
      </c>
      <c r="D306" s="61">
        <f>7425960-121902+121902+2162405</f>
        <v>9588365</v>
      </c>
      <c r="E306" s="61">
        <v>292220</v>
      </c>
      <c r="F306" s="61">
        <f>SUM(G306+J306)</f>
        <v>134800</v>
      </c>
      <c r="G306" s="61">
        <v>79800</v>
      </c>
      <c r="H306" s="61">
        <v>0</v>
      </c>
      <c r="I306" s="61">
        <v>0</v>
      </c>
      <c r="J306" s="61">
        <v>55000</v>
      </c>
      <c r="K306" s="61">
        <v>55000</v>
      </c>
      <c r="L306" s="61">
        <v>55000</v>
      </c>
      <c r="M306" s="62">
        <f t="shared" si="4"/>
        <v>14103521</v>
      </c>
    </row>
    <row r="307" spans="1:13" ht="33">
      <c r="A307" s="59" t="s">
        <v>450</v>
      </c>
      <c r="B307" s="60" t="s">
        <v>581</v>
      </c>
      <c r="C307" s="61">
        <f>SUM(C308:C309)</f>
        <v>573980</v>
      </c>
      <c r="D307" s="61">
        <v>7980</v>
      </c>
      <c r="E307" s="61">
        <v>0</v>
      </c>
      <c r="F307" s="61">
        <v>0</v>
      </c>
      <c r="G307" s="61">
        <v>0</v>
      </c>
      <c r="H307" s="61">
        <v>0</v>
      </c>
      <c r="I307" s="61">
        <v>0</v>
      </c>
      <c r="J307" s="61">
        <v>0</v>
      </c>
      <c r="K307" s="61">
        <v>0</v>
      </c>
      <c r="L307" s="61"/>
      <c r="M307" s="62">
        <f t="shared" si="4"/>
        <v>573980</v>
      </c>
    </row>
    <row r="308" spans="1:13" ht="102" customHeight="1">
      <c r="A308" s="59"/>
      <c r="B308" s="60" t="s">
        <v>363</v>
      </c>
      <c r="C308" s="61">
        <f>171000+300000</f>
        <v>471000</v>
      </c>
      <c r="D308" s="61"/>
      <c r="E308" s="61"/>
      <c r="F308" s="61"/>
      <c r="G308" s="61"/>
      <c r="H308" s="61"/>
      <c r="I308" s="61"/>
      <c r="J308" s="61"/>
      <c r="K308" s="61"/>
      <c r="L308" s="61"/>
      <c r="M308" s="62">
        <f>SUM(C308)</f>
        <v>471000</v>
      </c>
    </row>
    <row r="309" spans="1:13" ht="33">
      <c r="A309" s="59"/>
      <c r="B309" s="60" t="s">
        <v>375</v>
      </c>
      <c r="C309" s="61">
        <v>102980</v>
      </c>
      <c r="D309" s="61"/>
      <c r="E309" s="61"/>
      <c r="F309" s="61"/>
      <c r="G309" s="61"/>
      <c r="H309" s="61"/>
      <c r="I309" s="61"/>
      <c r="J309" s="61"/>
      <c r="K309" s="61"/>
      <c r="L309" s="61"/>
      <c r="M309" s="62">
        <f>SUM(C309)</f>
        <v>102980</v>
      </c>
    </row>
    <row r="310" spans="1:13" ht="59.25" customHeight="1">
      <c r="A310" s="59" t="s">
        <v>27</v>
      </c>
      <c r="B310" s="88" t="s">
        <v>634</v>
      </c>
      <c r="C310" s="61">
        <v>245100</v>
      </c>
      <c r="D310" s="61">
        <v>0</v>
      </c>
      <c r="E310" s="61">
        <v>0</v>
      </c>
      <c r="F310" s="61">
        <v>0</v>
      </c>
      <c r="G310" s="61">
        <v>0</v>
      </c>
      <c r="H310" s="61">
        <v>0</v>
      </c>
      <c r="I310" s="61">
        <v>0</v>
      </c>
      <c r="J310" s="61">
        <v>0</v>
      </c>
      <c r="K310" s="61">
        <v>0</v>
      </c>
      <c r="L310" s="61"/>
      <c r="M310" s="62">
        <f t="shared" si="4"/>
        <v>245100</v>
      </c>
    </row>
    <row r="311" spans="1:13" ht="59.25" customHeight="1">
      <c r="A311" s="59"/>
      <c r="B311" s="60" t="s">
        <v>859</v>
      </c>
      <c r="C311" s="61">
        <v>245100</v>
      </c>
      <c r="D311" s="61"/>
      <c r="E311" s="61"/>
      <c r="F311" s="61"/>
      <c r="G311" s="61"/>
      <c r="H311" s="61"/>
      <c r="I311" s="61"/>
      <c r="J311" s="61"/>
      <c r="K311" s="61"/>
      <c r="L311" s="61"/>
      <c r="M311" s="62">
        <f>SUM(C311)</f>
        <v>245100</v>
      </c>
    </row>
    <row r="312" spans="1:13" ht="16.5">
      <c r="A312" s="59" t="s">
        <v>452</v>
      </c>
      <c r="B312" s="60" t="s">
        <v>640</v>
      </c>
      <c r="C312" s="61">
        <f>3800-3800</f>
        <v>0</v>
      </c>
      <c r="D312" s="61">
        <v>0</v>
      </c>
      <c r="E312" s="61">
        <v>0</v>
      </c>
      <c r="F312" s="61">
        <v>0</v>
      </c>
      <c r="G312" s="61">
        <v>0</v>
      </c>
      <c r="H312" s="61">
        <v>0</v>
      </c>
      <c r="I312" s="61">
        <v>0</v>
      </c>
      <c r="J312" s="61">
        <v>0</v>
      </c>
      <c r="K312" s="61">
        <v>0</v>
      </c>
      <c r="L312" s="61"/>
      <c r="M312" s="62">
        <f t="shared" si="4"/>
        <v>0</v>
      </c>
    </row>
    <row r="313" spans="1:13" ht="49.5">
      <c r="A313" s="56">
        <v>76</v>
      </c>
      <c r="B313" s="57" t="s">
        <v>126</v>
      </c>
      <c r="C313" s="58">
        <f>SUM(C314+C315+C316+C317+C318+C319+C320+C323+C324)</f>
        <v>38925088.95</v>
      </c>
      <c r="D313" s="58">
        <v>0</v>
      </c>
      <c r="E313" s="58">
        <v>0</v>
      </c>
      <c r="F313" s="58">
        <v>1137720</v>
      </c>
      <c r="G313" s="58">
        <v>95832</v>
      </c>
      <c r="H313" s="58">
        <v>0</v>
      </c>
      <c r="I313" s="58">
        <v>0</v>
      </c>
      <c r="J313" s="58">
        <v>1041888</v>
      </c>
      <c r="K313" s="58">
        <v>0</v>
      </c>
      <c r="L313" s="58"/>
      <c r="M313" s="58">
        <f t="shared" si="4"/>
        <v>40062808.95</v>
      </c>
    </row>
    <row r="314" spans="1:13" ht="16.5">
      <c r="A314" s="59" t="s">
        <v>28</v>
      </c>
      <c r="B314" s="90" t="s">
        <v>713</v>
      </c>
      <c r="C314" s="61">
        <f>8427117-363671-497306+183300+176657.35+3800-6457465-300000</f>
        <v>1172432.3499999996</v>
      </c>
      <c r="D314" s="61">
        <v>0</v>
      </c>
      <c r="E314" s="61">
        <v>0</v>
      </c>
      <c r="F314" s="61">
        <v>0</v>
      </c>
      <c r="G314" s="61">
        <v>0</v>
      </c>
      <c r="H314" s="61">
        <v>0</v>
      </c>
      <c r="I314" s="61">
        <v>0</v>
      </c>
      <c r="J314" s="61">
        <v>0</v>
      </c>
      <c r="K314" s="61">
        <v>0</v>
      </c>
      <c r="L314" s="61"/>
      <c r="M314" s="62">
        <f t="shared" si="4"/>
        <v>1172432.3499999996</v>
      </c>
    </row>
    <row r="315" spans="1:13" ht="69.75" customHeight="1">
      <c r="A315" s="59" t="s">
        <v>29</v>
      </c>
      <c r="B315" s="60" t="s">
        <v>636</v>
      </c>
      <c r="C315" s="61">
        <v>1019795</v>
      </c>
      <c r="D315" s="61">
        <v>0</v>
      </c>
      <c r="E315" s="61">
        <v>0</v>
      </c>
      <c r="F315" s="61">
        <v>0</v>
      </c>
      <c r="G315" s="61">
        <v>0</v>
      </c>
      <c r="H315" s="61">
        <v>0</v>
      </c>
      <c r="I315" s="61">
        <v>0</v>
      </c>
      <c r="J315" s="61">
        <v>0</v>
      </c>
      <c r="K315" s="61">
        <v>0</v>
      </c>
      <c r="L315" s="61"/>
      <c r="M315" s="62">
        <f t="shared" si="4"/>
        <v>1019795</v>
      </c>
    </row>
    <row r="316" spans="1:13" ht="66">
      <c r="A316" s="74">
        <v>250313</v>
      </c>
      <c r="B316" s="89" t="s">
        <v>724</v>
      </c>
      <c r="C316" s="61">
        <v>100000</v>
      </c>
      <c r="D316" s="61"/>
      <c r="E316" s="61"/>
      <c r="F316" s="61"/>
      <c r="G316" s="61"/>
      <c r="H316" s="61"/>
      <c r="I316" s="61"/>
      <c r="J316" s="61"/>
      <c r="K316" s="61"/>
      <c r="L316" s="61"/>
      <c r="M316" s="62">
        <f t="shared" si="4"/>
        <v>100000</v>
      </c>
    </row>
    <row r="317" spans="1:13" ht="16.5">
      <c r="A317" s="59" t="s">
        <v>30</v>
      </c>
      <c r="B317" s="60" t="s">
        <v>372</v>
      </c>
      <c r="C317" s="61">
        <f>3848385+13143019</f>
        <v>16991404</v>
      </c>
      <c r="D317" s="61">
        <v>0</v>
      </c>
      <c r="E317" s="61">
        <v>0</v>
      </c>
      <c r="F317" s="61">
        <v>0</v>
      </c>
      <c r="G317" s="61">
        <v>0</v>
      </c>
      <c r="H317" s="61">
        <v>0</v>
      </c>
      <c r="I317" s="61">
        <v>0</v>
      </c>
      <c r="J317" s="61">
        <v>0</v>
      </c>
      <c r="K317" s="61">
        <v>0</v>
      </c>
      <c r="L317" s="61"/>
      <c r="M317" s="62">
        <f t="shared" si="4"/>
        <v>16991404</v>
      </c>
    </row>
    <row r="318" spans="1:13" ht="124.5" customHeight="1">
      <c r="A318" s="59" t="s">
        <v>31</v>
      </c>
      <c r="B318" s="60" t="s">
        <v>669</v>
      </c>
      <c r="C318" s="61">
        <f>10427770+7014700</f>
        <v>17442470</v>
      </c>
      <c r="D318" s="61">
        <v>0</v>
      </c>
      <c r="E318" s="61">
        <v>0</v>
      </c>
      <c r="F318" s="61">
        <v>0</v>
      </c>
      <c r="G318" s="61">
        <v>0</v>
      </c>
      <c r="H318" s="61">
        <v>0</v>
      </c>
      <c r="I318" s="61">
        <v>0</v>
      </c>
      <c r="J318" s="61">
        <v>0</v>
      </c>
      <c r="K318" s="61">
        <v>0</v>
      </c>
      <c r="L318" s="61"/>
      <c r="M318" s="62">
        <f t="shared" si="4"/>
        <v>17442470</v>
      </c>
    </row>
    <row r="319" spans="1:13" ht="138" customHeight="1">
      <c r="A319" s="74">
        <v>250353</v>
      </c>
      <c r="B319" s="60" t="s">
        <v>649</v>
      </c>
      <c r="C319" s="61">
        <f>375700+35481.6</f>
        <v>411181.6</v>
      </c>
      <c r="D319" s="61"/>
      <c r="E319" s="61"/>
      <c r="F319" s="61"/>
      <c r="G319" s="61"/>
      <c r="H319" s="61"/>
      <c r="I319" s="61"/>
      <c r="J319" s="61"/>
      <c r="K319" s="61"/>
      <c r="L319" s="61"/>
      <c r="M319" s="62">
        <v>375700</v>
      </c>
    </row>
    <row r="320" spans="1:13" ht="66">
      <c r="A320" s="59" t="s">
        <v>552</v>
      </c>
      <c r="B320" s="60" t="s">
        <v>543</v>
      </c>
      <c r="C320" s="61">
        <v>0</v>
      </c>
      <c r="D320" s="61">
        <v>0</v>
      </c>
      <c r="E320" s="61">
        <v>0</v>
      </c>
      <c r="F320" s="61">
        <v>1137720</v>
      </c>
      <c r="G320" s="61">
        <v>95832</v>
      </c>
      <c r="H320" s="61">
        <v>0</v>
      </c>
      <c r="I320" s="61">
        <v>0</v>
      </c>
      <c r="J320" s="61">
        <v>1041888</v>
      </c>
      <c r="K320" s="61">
        <v>0</v>
      </c>
      <c r="L320" s="61"/>
      <c r="M320" s="62">
        <f t="shared" si="4"/>
        <v>1137720</v>
      </c>
    </row>
    <row r="321" spans="1:13" ht="33">
      <c r="A321" s="59"/>
      <c r="B321" s="60" t="s">
        <v>349</v>
      </c>
      <c r="C321" s="61"/>
      <c r="D321" s="61"/>
      <c r="E321" s="61"/>
      <c r="F321" s="77">
        <f>SUM(G321+J321)</f>
        <v>200366</v>
      </c>
      <c r="G321" s="77">
        <v>95832</v>
      </c>
      <c r="H321" s="91"/>
      <c r="I321" s="91"/>
      <c r="J321" s="77">
        <v>104534</v>
      </c>
      <c r="K321" s="61"/>
      <c r="L321" s="61"/>
      <c r="M321" s="62">
        <f>SUM(F321)</f>
        <v>200366</v>
      </c>
    </row>
    <row r="322" spans="1:13" ht="33">
      <c r="A322" s="59"/>
      <c r="B322" s="60" t="s">
        <v>350</v>
      </c>
      <c r="C322" s="61"/>
      <c r="D322" s="61"/>
      <c r="E322" s="61"/>
      <c r="F322" s="77">
        <f>SUM(J322)</f>
        <v>937354</v>
      </c>
      <c r="G322" s="77"/>
      <c r="H322" s="91"/>
      <c r="I322" s="91"/>
      <c r="J322" s="77">
        <v>937354</v>
      </c>
      <c r="K322" s="61"/>
      <c r="L322" s="61"/>
      <c r="M322" s="62">
        <f>SUM(F322)</f>
        <v>937354</v>
      </c>
    </row>
    <row r="323" spans="1:13" ht="85.5" customHeight="1">
      <c r="A323" s="59" t="s">
        <v>549</v>
      </c>
      <c r="B323" s="71" t="s">
        <v>422</v>
      </c>
      <c r="C323" s="61">
        <v>136040</v>
      </c>
      <c r="D323" s="61">
        <v>0</v>
      </c>
      <c r="E323" s="61">
        <v>0</v>
      </c>
      <c r="F323" s="61">
        <v>0</v>
      </c>
      <c r="G323" s="61">
        <v>0</v>
      </c>
      <c r="H323" s="61">
        <v>0</v>
      </c>
      <c r="I323" s="61">
        <v>0</v>
      </c>
      <c r="J323" s="61">
        <v>0</v>
      </c>
      <c r="K323" s="61">
        <v>0</v>
      </c>
      <c r="L323" s="61"/>
      <c r="M323" s="62">
        <f t="shared" si="4"/>
        <v>136040</v>
      </c>
    </row>
    <row r="324" spans="1:13" ht="16.5">
      <c r="A324" s="59" t="s">
        <v>32</v>
      </c>
      <c r="B324" s="71" t="s">
        <v>635</v>
      </c>
      <c r="C324" s="61">
        <f>825883+306976+518907</f>
        <v>1651766</v>
      </c>
      <c r="D324" s="61">
        <v>0</v>
      </c>
      <c r="E324" s="61">
        <v>0</v>
      </c>
      <c r="F324" s="61">
        <v>0</v>
      </c>
      <c r="G324" s="61">
        <v>0</v>
      </c>
      <c r="H324" s="61">
        <v>0</v>
      </c>
      <c r="I324" s="61">
        <v>0</v>
      </c>
      <c r="J324" s="61">
        <v>0</v>
      </c>
      <c r="K324" s="61">
        <v>0</v>
      </c>
      <c r="L324" s="61"/>
      <c r="M324" s="62">
        <f t="shared" si="4"/>
        <v>1651766</v>
      </c>
    </row>
    <row r="325" spans="1:13" ht="17.25" thickBot="1">
      <c r="A325" s="92" t="s">
        <v>714</v>
      </c>
      <c r="B325" s="93"/>
      <c r="C325" s="94">
        <f>SUM(C15+C25+C46+C59+C73+C103+C210+C214+C222+C224+C239+C243+C253+C271+C279+C289+C298+C305+C313)</f>
        <v>2254888689.9999995</v>
      </c>
      <c r="D325" s="94">
        <f>D15+D25+D46+D59+D73+D103+D210+D214+D222+D224+D239+D243+D253+D271+D279+D289+D298+D305</f>
        <v>974115918.52</v>
      </c>
      <c r="E325" s="94">
        <f>E15+E25+E46+E59+E73+E103+E210+E214+E222+E224+E239+E243+E253+E271+E279+E289+E298+E305+E313</f>
        <v>78213275</v>
      </c>
      <c r="F325" s="94">
        <f>F15+F25+F46+F59+F73+F103+F210+F214+F222+F224+F239+F243+F253+F271+F279+F289+F298+F305+F313</f>
        <v>378896000</v>
      </c>
      <c r="G325" s="94">
        <f>G15+G25+G46+G59+G73+G103+G210+G214+G222+G224+G239+G243+G253+G271+G279+G289+G298+G305+G313</f>
        <v>89935436</v>
      </c>
      <c r="H325" s="94">
        <v>9288229</v>
      </c>
      <c r="I325" s="94">
        <v>1653483</v>
      </c>
      <c r="J325" s="94">
        <f>J15+J25+J46+J59+J73+J103+J210+J214+J222+J224+J239+J243+J253+J271+J279+J289+J298+J305+J313</f>
        <v>288950564</v>
      </c>
      <c r="K325" s="94">
        <f>SUM(K15+K25+K46+K59+K73+K103+K210+K214+K222+K224+K239+K243+K253+K271+K279+K289+K298+K305+K313)</f>
        <v>260121626</v>
      </c>
      <c r="L325" s="94">
        <f>SUM(L271+L15+L305+L59)</f>
        <v>59472100</v>
      </c>
      <c r="M325" s="94">
        <f t="shared" si="4"/>
        <v>2633784689.9999995</v>
      </c>
    </row>
    <row r="327" spans="3:13" ht="16.5">
      <c r="C327" s="81"/>
      <c r="D327" s="81"/>
      <c r="E327" s="81"/>
      <c r="F327" s="81"/>
      <c r="G327" s="81"/>
      <c r="H327" s="81"/>
      <c r="I327" s="81"/>
      <c r="J327" s="81"/>
      <c r="K327" s="81"/>
      <c r="L327" s="81"/>
      <c r="M327" s="81"/>
    </row>
    <row r="328" spans="2:9" ht="16.5">
      <c r="B328" s="95"/>
      <c r="I328" s="95"/>
    </row>
    <row r="330" spans="2:9" ht="16.5">
      <c r="B330" s="96"/>
      <c r="C330" s="97"/>
      <c r="D330" s="97"/>
      <c r="E330" s="97"/>
      <c r="F330" s="97"/>
      <c r="G330" s="97"/>
      <c r="H330" s="97"/>
      <c r="I330" s="98"/>
    </row>
    <row r="331" spans="2:9" ht="16.5">
      <c r="B331" s="96"/>
      <c r="C331" s="97"/>
      <c r="D331" s="97"/>
      <c r="E331" s="97"/>
      <c r="F331" s="97"/>
      <c r="G331" s="97"/>
      <c r="H331" s="97"/>
      <c r="I331" s="98"/>
    </row>
  </sheetData>
  <mergeCells count="21">
    <mergeCell ref="H12:H13"/>
    <mergeCell ref="K12:K13"/>
    <mergeCell ref="A12:A13"/>
    <mergeCell ref="E12:E13"/>
    <mergeCell ref="C7:N7"/>
    <mergeCell ref="G11:G13"/>
    <mergeCell ref="H11:I11"/>
    <mergeCell ref="J11:J13"/>
    <mergeCell ref="A8:M8"/>
    <mergeCell ref="A10:A11"/>
    <mergeCell ref="B10:B11"/>
    <mergeCell ref="D11:E11"/>
    <mergeCell ref="B12:B13"/>
    <mergeCell ref="D12:D13"/>
    <mergeCell ref="M10:M13"/>
    <mergeCell ref="C10:E10"/>
    <mergeCell ref="F10:L10"/>
    <mergeCell ref="C11:C13"/>
    <mergeCell ref="K11:L11"/>
    <mergeCell ref="F11:F13"/>
    <mergeCell ref="I12:I13"/>
  </mergeCells>
  <printOptions/>
  <pageMargins left="0.16" right="0.17" top="0.82" bottom="0.34" header="0.5" footer="0.28"/>
  <pageSetup horizontalDpi="600" verticalDpi="600" orientation="landscape" paperSize="9" scale="39" r:id="rId2"/>
  <rowBreaks count="4" manualBreakCount="4">
    <brk id="175" max="12" man="1"/>
    <brk id="193" max="12" man="1"/>
    <brk id="232" max="12" man="1"/>
    <brk id="262" max="12" man="1"/>
  </rowBreaks>
  <drawing r:id="rId1"/>
</worksheet>
</file>

<file path=xl/worksheets/sheet4.xml><?xml version="1.0" encoding="utf-8"?>
<worksheet xmlns="http://schemas.openxmlformats.org/spreadsheetml/2006/main" xmlns:r="http://schemas.openxmlformats.org/officeDocument/2006/relationships">
  <dimension ref="A1:U124"/>
  <sheetViews>
    <sheetView view="pageBreakPreview" zoomScale="60" workbookViewId="0" topLeftCell="N1">
      <selection activeCell="O5" sqref="O5"/>
    </sheetView>
  </sheetViews>
  <sheetFormatPr defaultColWidth="9.140625" defaultRowHeight="22.5" customHeight="1"/>
  <cols>
    <col min="1" max="1" width="136.421875" style="111" customWidth="1"/>
    <col min="2" max="2" width="56.28125" style="203" customWidth="1"/>
    <col min="3" max="3" width="60.140625" style="111" customWidth="1"/>
    <col min="4" max="4" width="47.57421875" style="111" customWidth="1"/>
    <col min="5" max="5" width="64.8515625" style="111" customWidth="1"/>
    <col min="6" max="6" width="58.57421875" style="111" customWidth="1"/>
    <col min="7" max="7" width="41.8515625" style="111" customWidth="1"/>
    <col min="8" max="8" width="60.140625" style="111" customWidth="1"/>
    <col min="9" max="9" width="46.57421875" style="188" customWidth="1"/>
    <col min="10" max="10" width="42.28125" style="188" customWidth="1"/>
    <col min="11" max="11" width="46.00390625" style="188" customWidth="1"/>
    <col min="12" max="12" width="43.421875" style="188" customWidth="1"/>
    <col min="13" max="13" width="68.421875" style="109" customWidth="1"/>
    <col min="14" max="14" width="57.7109375" style="109" customWidth="1"/>
    <col min="15" max="15" width="59.7109375" style="109" customWidth="1"/>
    <col min="16" max="16" width="43.57421875" style="109" customWidth="1"/>
    <col min="17" max="17" width="48.00390625" style="109" customWidth="1"/>
    <col min="18" max="18" width="49.00390625" style="110" hidden="1" customWidth="1"/>
    <col min="19" max="19" width="3.8515625" style="111" hidden="1" customWidth="1"/>
    <col min="20" max="20" width="2.140625" style="111" customWidth="1"/>
    <col min="21" max="21" width="25.7109375" style="111" customWidth="1"/>
    <col min="22" max="16384" width="9.140625" style="111" customWidth="1"/>
  </cols>
  <sheetData>
    <row r="1" spans="1:20" ht="44.25" customHeight="1">
      <c r="A1" s="445"/>
      <c r="B1" s="445"/>
      <c r="C1" s="445"/>
      <c r="D1" s="445"/>
      <c r="E1" s="445"/>
      <c r="F1" s="445"/>
      <c r="G1" s="105"/>
      <c r="H1" s="105"/>
      <c r="I1" s="106"/>
      <c r="J1" s="106"/>
      <c r="K1" s="106"/>
      <c r="L1" s="106"/>
      <c r="M1" s="107"/>
      <c r="N1" s="107"/>
      <c r="O1" s="107"/>
      <c r="P1" s="108" t="s">
        <v>838</v>
      </c>
      <c r="S1" s="105"/>
      <c r="T1" s="105"/>
    </row>
    <row r="2" spans="1:20" ht="29.25" customHeight="1">
      <c r="A2" s="445"/>
      <c r="B2" s="445"/>
      <c r="C2" s="445"/>
      <c r="D2" s="445"/>
      <c r="E2" s="445"/>
      <c r="F2" s="445"/>
      <c r="G2" s="105"/>
      <c r="H2" s="105"/>
      <c r="I2" s="106"/>
      <c r="J2" s="106"/>
      <c r="K2" s="106"/>
      <c r="L2" s="106"/>
      <c r="M2" s="107"/>
      <c r="N2" s="107"/>
      <c r="O2" s="107"/>
      <c r="P2" s="108" t="s">
        <v>35</v>
      </c>
      <c r="S2" s="105"/>
      <c r="T2" s="105"/>
    </row>
    <row r="3" spans="1:20" ht="40.5" customHeight="1">
      <c r="A3" s="445"/>
      <c r="B3" s="445"/>
      <c r="C3" s="445"/>
      <c r="D3" s="445"/>
      <c r="E3" s="445"/>
      <c r="F3" s="445"/>
      <c r="G3" s="105"/>
      <c r="H3" s="105"/>
      <c r="I3" s="106"/>
      <c r="J3" s="106"/>
      <c r="K3" s="106"/>
      <c r="L3" s="106"/>
      <c r="M3" s="112"/>
      <c r="N3" s="112"/>
      <c r="O3" s="112"/>
      <c r="P3" s="113" t="s">
        <v>359</v>
      </c>
      <c r="S3" s="108"/>
      <c r="T3" s="105"/>
    </row>
    <row r="4" spans="1:20" ht="39.75" customHeight="1">
      <c r="A4" s="105"/>
      <c r="B4" s="105"/>
      <c r="C4" s="105"/>
      <c r="D4" s="105"/>
      <c r="E4" s="105"/>
      <c r="F4" s="105"/>
      <c r="G4" s="105"/>
      <c r="H4" s="105"/>
      <c r="I4" s="106"/>
      <c r="J4" s="106"/>
      <c r="K4" s="106"/>
      <c r="L4" s="106"/>
      <c r="M4" s="112"/>
      <c r="N4" s="112"/>
      <c r="O4" s="112"/>
      <c r="P4" s="113" t="s">
        <v>604</v>
      </c>
      <c r="S4" s="114"/>
      <c r="T4" s="105"/>
    </row>
    <row r="5" spans="1:20" ht="37.5" customHeight="1">
      <c r="A5" s="105"/>
      <c r="B5" s="105"/>
      <c r="C5" s="105"/>
      <c r="D5" s="105"/>
      <c r="E5" s="105"/>
      <c r="F5" s="105"/>
      <c r="G5" s="105"/>
      <c r="H5" s="105"/>
      <c r="I5" s="106"/>
      <c r="J5" s="106"/>
      <c r="K5" s="106"/>
      <c r="L5" s="106"/>
      <c r="M5" s="112"/>
      <c r="N5" s="112"/>
      <c r="O5" s="112"/>
      <c r="P5" s="557" t="s">
        <v>23</v>
      </c>
      <c r="Q5" s="115"/>
      <c r="S5" s="108"/>
      <c r="T5" s="105"/>
    </row>
    <row r="6" spans="1:20" ht="34.5" customHeight="1">
      <c r="A6" s="105"/>
      <c r="B6" s="105"/>
      <c r="C6" s="116" t="s">
        <v>839</v>
      </c>
      <c r="D6" s="105"/>
      <c r="E6" s="105"/>
      <c r="F6" s="105"/>
      <c r="G6" s="105"/>
      <c r="H6" s="105"/>
      <c r="I6" s="106"/>
      <c r="J6" s="106"/>
      <c r="K6" s="106"/>
      <c r="L6" s="106"/>
      <c r="M6" s="112"/>
      <c r="N6" s="112"/>
      <c r="O6" s="112"/>
      <c r="P6" s="112"/>
      <c r="Q6" s="112"/>
      <c r="R6" s="117"/>
      <c r="S6" s="105"/>
      <c r="T6" s="105"/>
    </row>
    <row r="7" spans="1:20" ht="44.25" customHeight="1" thickBot="1">
      <c r="A7" s="118"/>
      <c r="B7" s="119"/>
      <c r="C7" s="118"/>
      <c r="D7" s="118"/>
      <c r="E7" s="118"/>
      <c r="F7" s="118"/>
      <c r="G7" s="118"/>
      <c r="H7" s="118"/>
      <c r="I7" s="120"/>
      <c r="J7" s="120"/>
      <c r="K7" s="120"/>
      <c r="L7" s="120"/>
      <c r="M7" s="121"/>
      <c r="N7" s="121"/>
      <c r="O7" s="121"/>
      <c r="P7" s="121"/>
      <c r="Q7" s="121"/>
      <c r="R7" s="118" t="s">
        <v>346</v>
      </c>
      <c r="S7" s="118"/>
      <c r="T7" s="118"/>
    </row>
    <row r="8" spans="1:18" ht="74.25" customHeight="1">
      <c r="A8" s="446" t="s">
        <v>840</v>
      </c>
      <c r="B8" s="490" t="s">
        <v>841</v>
      </c>
      <c r="C8" s="491" t="s">
        <v>842</v>
      </c>
      <c r="D8" s="492"/>
      <c r="E8" s="492"/>
      <c r="F8" s="492"/>
      <c r="G8" s="492"/>
      <c r="H8" s="492"/>
      <c r="I8" s="492"/>
      <c r="J8" s="492"/>
      <c r="K8" s="492"/>
      <c r="L8" s="122"/>
      <c r="M8" s="505" t="s">
        <v>843</v>
      </c>
      <c r="N8" s="491" t="s">
        <v>844</v>
      </c>
      <c r="O8" s="492"/>
      <c r="P8" s="492"/>
      <c r="Q8" s="508"/>
      <c r="R8" s="497" t="s">
        <v>704</v>
      </c>
    </row>
    <row r="9" spans="1:18" ht="409.5" customHeight="1">
      <c r="A9" s="442"/>
      <c r="B9" s="442"/>
      <c r="C9" s="500" t="s">
        <v>134</v>
      </c>
      <c r="D9" s="500" t="s">
        <v>135</v>
      </c>
      <c r="E9" s="500" t="s">
        <v>136</v>
      </c>
      <c r="F9" s="500" t="s">
        <v>137</v>
      </c>
      <c r="G9" s="500" t="s">
        <v>138</v>
      </c>
      <c r="H9" s="500" t="s">
        <v>822</v>
      </c>
      <c r="I9" s="493" t="s">
        <v>305</v>
      </c>
      <c r="J9" s="493" t="s">
        <v>306</v>
      </c>
      <c r="K9" s="495" t="s">
        <v>307</v>
      </c>
      <c r="L9" s="502" t="s">
        <v>308</v>
      </c>
      <c r="M9" s="506"/>
      <c r="N9" s="493" t="s">
        <v>305</v>
      </c>
      <c r="O9" s="503" t="s">
        <v>309</v>
      </c>
      <c r="P9" s="504" t="s">
        <v>310</v>
      </c>
      <c r="Q9" s="509" t="s">
        <v>311</v>
      </c>
      <c r="R9" s="498"/>
    </row>
    <row r="10" spans="1:18" ht="409.5" customHeight="1">
      <c r="A10" s="442"/>
      <c r="B10" s="442"/>
      <c r="C10" s="500"/>
      <c r="D10" s="500"/>
      <c r="E10" s="500"/>
      <c r="F10" s="500"/>
      <c r="G10" s="500"/>
      <c r="H10" s="500"/>
      <c r="I10" s="493"/>
      <c r="J10" s="493"/>
      <c r="K10" s="495"/>
      <c r="L10" s="502"/>
      <c r="M10" s="506"/>
      <c r="N10" s="493"/>
      <c r="O10" s="495"/>
      <c r="P10" s="504"/>
      <c r="Q10" s="509"/>
      <c r="R10" s="498"/>
    </row>
    <row r="11" spans="1:18" ht="401.25" customHeight="1" thickBot="1">
      <c r="A11" s="443"/>
      <c r="B11" s="443"/>
      <c r="C11" s="501"/>
      <c r="D11" s="501"/>
      <c r="E11" s="501"/>
      <c r="F11" s="501"/>
      <c r="G11" s="501"/>
      <c r="H11" s="501"/>
      <c r="I11" s="494"/>
      <c r="J11" s="494"/>
      <c r="K11" s="496"/>
      <c r="L11" s="502"/>
      <c r="M11" s="507"/>
      <c r="N11" s="494"/>
      <c r="O11" s="495"/>
      <c r="P11" s="265"/>
      <c r="Q11" s="124"/>
      <c r="R11" s="499"/>
    </row>
    <row r="12" spans="1:18" ht="67.5" customHeight="1" thickBot="1">
      <c r="A12" s="125">
        <v>1</v>
      </c>
      <c r="B12" s="125">
        <v>2</v>
      </c>
      <c r="C12" s="126">
        <v>3</v>
      </c>
      <c r="D12" s="126">
        <v>4</v>
      </c>
      <c r="E12" s="126">
        <v>5</v>
      </c>
      <c r="F12" s="126">
        <v>6</v>
      </c>
      <c r="G12" s="126">
        <v>7</v>
      </c>
      <c r="H12" s="126">
        <v>8</v>
      </c>
      <c r="I12" s="127">
        <v>9</v>
      </c>
      <c r="J12" s="127">
        <v>10</v>
      </c>
      <c r="K12" s="127">
        <v>11</v>
      </c>
      <c r="L12" s="123">
        <v>12</v>
      </c>
      <c r="M12" s="128">
        <v>13</v>
      </c>
      <c r="N12" s="128">
        <v>14</v>
      </c>
      <c r="O12" s="433">
        <v>15</v>
      </c>
      <c r="P12" s="441">
        <v>16</v>
      </c>
      <c r="Q12" s="441">
        <v>17</v>
      </c>
      <c r="R12" s="438">
        <v>18</v>
      </c>
    </row>
    <row r="13" spans="1:18" ht="116.25" customHeight="1">
      <c r="A13" s="129" t="s">
        <v>611</v>
      </c>
      <c r="B13" s="130" t="s">
        <v>612</v>
      </c>
      <c r="C13" s="131"/>
      <c r="D13" s="132"/>
      <c r="E13" s="131"/>
      <c r="F13" s="131"/>
      <c r="G13" s="133">
        <v>1760160</v>
      </c>
      <c r="H13" s="131"/>
      <c r="I13" s="134"/>
      <c r="J13" s="134"/>
      <c r="K13" s="134"/>
      <c r="L13" s="134"/>
      <c r="M13" s="135">
        <f>SUM(C13:G13)</f>
        <v>1760160</v>
      </c>
      <c r="N13" s="135"/>
      <c r="O13" s="434"/>
      <c r="P13" s="141"/>
      <c r="Q13" s="141"/>
      <c r="R13" s="439">
        <f>M13</f>
        <v>1760160</v>
      </c>
    </row>
    <row r="14" spans="1:18" ht="46.5" customHeight="1">
      <c r="A14" s="136" t="s">
        <v>572</v>
      </c>
      <c r="B14" s="137" t="s">
        <v>613</v>
      </c>
      <c r="C14" s="138">
        <v>721780</v>
      </c>
      <c r="D14" s="139"/>
      <c r="E14" s="139"/>
      <c r="F14" s="139"/>
      <c r="G14" s="139"/>
      <c r="H14" s="139"/>
      <c r="I14" s="140"/>
      <c r="J14" s="140"/>
      <c r="K14" s="140"/>
      <c r="L14" s="140"/>
      <c r="M14" s="141">
        <f>SUM(C14:F14)</f>
        <v>721780</v>
      </c>
      <c r="N14" s="141"/>
      <c r="O14" s="435"/>
      <c r="P14" s="141"/>
      <c r="Q14" s="141"/>
      <c r="R14" s="440">
        <f aca="true" t="shared" si="0" ref="R14:R22">M14</f>
        <v>721780</v>
      </c>
    </row>
    <row r="15" spans="1:18" ht="45" customHeight="1">
      <c r="A15" s="136" t="s">
        <v>573</v>
      </c>
      <c r="B15" s="137" t="s">
        <v>614</v>
      </c>
      <c r="C15" s="138">
        <v>16687111</v>
      </c>
      <c r="D15" s="139"/>
      <c r="E15" s="139"/>
      <c r="F15" s="139"/>
      <c r="G15" s="139"/>
      <c r="H15" s="139"/>
      <c r="I15" s="140"/>
      <c r="J15" s="140"/>
      <c r="K15" s="140"/>
      <c r="L15" s="140"/>
      <c r="M15" s="141">
        <f aca="true" t="shared" si="1" ref="M15:M33">SUM(C15:F15)</f>
        <v>16687111</v>
      </c>
      <c r="N15" s="141"/>
      <c r="O15" s="435"/>
      <c r="P15" s="141"/>
      <c r="Q15" s="141"/>
      <c r="R15" s="440">
        <f t="shared" si="0"/>
        <v>16687111</v>
      </c>
    </row>
    <row r="16" spans="1:18" ht="46.5" customHeight="1">
      <c r="A16" s="136" t="s">
        <v>615</v>
      </c>
      <c r="B16" s="137" t="s">
        <v>616</v>
      </c>
      <c r="C16" s="138">
        <v>38362520</v>
      </c>
      <c r="D16" s="139"/>
      <c r="E16" s="139"/>
      <c r="F16" s="139"/>
      <c r="G16" s="139"/>
      <c r="H16" s="139"/>
      <c r="I16" s="140"/>
      <c r="J16" s="140"/>
      <c r="K16" s="140"/>
      <c r="L16" s="140"/>
      <c r="M16" s="141">
        <f t="shared" si="1"/>
        <v>38362520</v>
      </c>
      <c r="N16" s="141"/>
      <c r="O16" s="435"/>
      <c r="P16" s="141"/>
      <c r="Q16" s="141"/>
      <c r="R16" s="440">
        <f t="shared" si="0"/>
        <v>38362520</v>
      </c>
    </row>
    <row r="17" spans="1:18" ht="72" customHeight="1">
      <c r="A17" s="136" t="s">
        <v>617</v>
      </c>
      <c r="B17" s="137" t="s">
        <v>618</v>
      </c>
      <c r="C17" s="138">
        <v>3295683</v>
      </c>
      <c r="D17" s="139"/>
      <c r="E17" s="139"/>
      <c r="F17" s="139"/>
      <c r="G17" s="139"/>
      <c r="H17" s="139"/>
      <c r="I17" s="140"/>
      <c r="J17" s="140"/>
      <c r="K17" s="140"/>
      <c r="L17" s="140"/>
      <c r="M17" s="141">
        <f t="shared" si="1"/>
        <v>3295683</v>
      </c>
      <c r="N17" s="141"/>
      <c r="O17" s="435"/>
      <c r="P17" s="141"/>
      <c r="Q17" s="141"/>
      <c r="R17" s="440">
        <f t="shared" si="0"/>
        <v>3295683</v>
      </c>
    </row>
    <row r="18" spans="1:18" ht="40.5" customHeight="1">
      <c r="A18" s="136" t="s">
        <v>619</v>
      </c>
      <c r="B18" s="137" t="s">
        <v>620</v>
      </c>
      <c r="C18" s="138">
        <v>10118792</v>
      </c>
      <c r="D18" s="139"/>
      <c r="E18" s="139"/>
      <c r="F18" s="139"/>
      <c r="G18" s="139"/>
      <c r="H18" s="139"/>
      <c r="I18" s="140"/>
      <c r="J18" s="140"/>
      <c r="K18" s="140"/>
      <c r="L18" s="140"/>
      <c r="M18" s="141">
        <f t="shared" si="1"/>
        <v>10118792</v>
      </c>
      <c r="N18" s="141"/>
      <c r="O18" s="435"/>
      <c r="P18" s="141"/>
      <c r="Q18" s="141"/>
      <c r="R18" s="440">
        <f t="shared" si="0"/>
        <v>10118792</v>
      </c>
    </row>
    <row r="19" spans="1:18" ht="37.5" customHeight="1">
      <c r="A19" s="143" t="s">
        <v>621</v>
      </c>
      <c r="B19" s="137" t="s">
        <v>622</v>
      </c>
      <c r="C19" s="138">
        <v>602965</v>
      </c>
      <c r="D19" s="139"/>
      <c r="E19" s="139"/>
      <c r="F19" s="139"/>
      <c r="G19" s="139"/>
      <c r="H19" s="139"/>
      <c r="I19" s="140"/>
      <c r="J19" s="140"/>
      <c r="K19" s="140"/>
      <c r="L19" s="140"/>
      <c r="M19" s="141">
        <f t="shared" si="1"/>
        <v>602965</v>
      </c>
      <c r="N19" s="141"/>
      <c r="O19" s="435"/>
      <c r="P19" s="141"/>
      <c r="Q19" s="141"/>
      <c r="R19" s="440">
        <f t="shared" si="0"/>
        <v>602965</v>
      </c>
    </row>
    <row r="20" spans="1:18" ht="45" customHeight="1">
      <c r="A20" s="143" t="s">
        <v>623</v>
      </c>
      <c r="B20" s="137" t="s">
        <v>624</v>
      </c>
      <c r="C20" s="138">
        <v>200119</v>
      </c>
      <c r="D20" s="139"/>
      <c r="E20" s="139"/>
      <c r="F20" s="139"/>
      <c r="G20" s="139"/>
      <c r="H20" s="139"/>
      <c r="I20" s="140"/>
      <c r="J20" s="140"/>
      <c r="K20" s="140"/>
      <c r="L20" s="140"/>
      <c r="M20" s="141">
        <f t="shared" si="1"/>
        <v>200119</v>
      </c>
      <c r="N20" s="141"/>
      <c r="O20" s="435"/>
      <c r="P20" s="141"/>
      <c r="Q20" s="141"/>
      <c r="R20" s="440">
        <f t="shared" si="0"/>
        <v>200119</v>
      </c>
    </row>
    <row r="21" spans="1:18" ht="68.25" customHeight="1">
      <c r="A21" s="136" t="s">
        <v>574</v>
      </c>
      <c r="B21" s="137" t="s">
        <v>625</v>
      </c>
      <c r="C21" s="138">
        <v>9210516</v>
      </c>
      <c r="D21" s="139"/>
      <c r="E21" s="139"/>
      <c r="F21" s="139"/>
      <c r="G21" s="139"/>
      <c r="H21" s="139"/>
      <c r="I21" s="140"/>
      <c r="J21" s="140"/>
      <c r="K21" s="140"/>
      <c r="L21" s="140"/>
      <c r="M21" s="141">
        <f t="shared" si="1"/>
        <v>9210516</v>
      </c>
      <c r="N21" s="141"/>
      <c r="O21" s="435"/>
      <c r="P21" s="141"/>
      <c r="Q21" s="141"/>
      <c r="R21" s="440">
        <f t="shared" si="0"/>
        <v>9210516</v>
      </c>
    </row>
    <row r="22" spans="1:18" ht="83.25" customHeight="1">
      <c r="A22" s="136" t="s">
        <v>626</v>
      </c>
      <c r="B22" s="137" t="s">
        <v>627</v>
      </c>
      <c r="C22" s="138">
        <v>13299354</v>
      </c>
      <c r="D22" s="139"/>
      <c r="E22" s="139"/>
      <c r="F22" s="139"/>
      <c r="G22" s="139"/>
      <c r="H22" s="139"/>
      <c r="I22" s="140"/>
      <c r="J22" s="140"/>
      <c r="K22" s="140"/>
      <c r="L22" s="140"/>
      <c r="M22" s="141">
        <f t="shared" si="1"/>
        <v>13299354</v>
      </c>
      <c r="N22" s="141"/>
      <c r="O22" s="435"/>
      <c r="P22" s="141"/>
      <c r="Q22" s="141"/>
      <c r="R22" s="440">
        <f t="shared" si="0"/>
        <v>13299354</v>
      </c>
    </row>
    <row r="23" spans="1:18" ht="409.5" customHeight="1">
      <c r="A23" s="144" t="s">
        <v>745</v>
      </c>
      <c r="B23" s="145" t="s">
        <v>575</v>
      </c>
      <c r="C23" s="146"/>
      <c r="D23" s="146">
        <v>6237434</v>
      </c>
      <c r="E23" s="147"/>
      <c r="F23" s="147"/>
      <c r="G23" s="147"/>
      <c r="H23" s="147"/>
      <c r="I23" s="148"/>
      <c r="J23" s="148"/>
      <c r="K23" s="148"/>
      <c r="L23" s="148"/>
      <c r="M23" s="141">
        <f t="shared" si="1"/>
        <v>6237434</v>
      </c>
      <c r="N23" s="141"/>
      <c r="O23" s="435"/>
      <c r="P23" s="141"/>
      <c r="Q23" s="141"/>
      <c r="R23" s="440">
        <f>M23</f>
        <v>6237434</v>
      </c>
    </row>
    <row r="24" spans="1:18" ht="352.5" customHeight="1">
      <c r="A24" s="144" t="s">
        <v>746</v>
      </c>
      <c r="B24" s="510" t="s">
        <v>571</v>
      </c>
      <c r="C24" s="511"/>
      <c r="D24" s="512">
        <v>1516352</v>
      </c>
      <c r="E24" s="511"/>
      <c r="F24" s="511"/>
      <c r="G24" s="511"/>
      <c r="H24" s="511"/>
      <c r="I24" s="513"/>
      <c r="J24" s="149"/>
      <c r="K24" s="149"/>
      <c r="L24" s="149"/>
      <c r="M24" s="516">
        <f t="shared" si="1"/>
        <v>1516352</v>
      </c>
      <c r="N24" s="150"/>
      <c r="O24" s="436"/>
      <c r="P24" s="428"/>
      <c r="Q24" s="428"/>
      <c r="R24" s="517">
        <f>M24</f>
        <v>1516352</v>
      </c>
    </row>
    <row r="25" spans="1:18" ht="409.5" customHeight="1">
      <c r="A25" s="144" t="s">
        <v>747</v>
      </c>
      <c r="B25" s="510"/>
      <c r="C25" s="511"/>
      <c r="D25" s="512"/>
      <c r="E25" s="511"/>
      <c r="F25" s="511"/>
      <c r="G25" s="511"/>
      <c r="H25" s="511"/>
      <c r="I25" s="514"/>
      <c r="J25" s="151"/>
      <c r="K25" s="151"/>
      <c r="L25" s="151"/>
      <c r="M25" s="516"/>
      <c r="N25" s="152"/>
      <c r="O25" s="437"/>
      <c r="P25" s="428"/>
      <c r="Q25" s="428"/>
      <c r="R25" s="518"/>
    </row>
    <row r="26" spans="1:18" ht="409.5" customHeight="1">
      <c r="A26" s="153" t="s">
        <v>140</v>
      </c>
      <c r="B26" s="510"/>
      <c r="C26" s="511"/>
      <c r="D26" s="512"/>
      <c r="E26" s="511"/>
      <c r="F26" s="511"/>
      <c r="G26" s="511"/>
      <c r="H26" s="511"/>
      <c r="I26" s="515"/>
      <c r="J26" s="154"/>
      <c r="K26" s="154"/>
      <c r="L26" s="154"/>
      <c r="M26" s="516"/>
      <c r="N26" s="155"/>
      <c r="O26" s="155"/>
      <c r="P26" s="155"/>
      <c r="Q26" s="155"/>
      <c r="R26" s="519"/>
    </row>
    <row r="27" spans="1:18" ht="156" customHeight="1">
      <c r="A27" s="143" t="s">
        <v>141</v>
      </c>
      <c r="B27" s="145" t="s">
        <v>725</v>
      </c>
      <c r="C27" s="147"/>
      <c r="D27" s="146">
        <v>186656</v>
      </c>
      <c r="E27" s="147"/>
      <c r="F27" s="147"/>
      <c r="G27" s="147"/>
      <c r="H27" s="147"/>
      <c r="I27" s="148"/>
      <c r="J27" s="148"/>
      <c r="K27" s="148"/>
      <c r="L27" s="148"/>
      <c r="M27" s="141">
        <f t="shared" si="1"/>
        <v>186656</v>
      </c>
      <c r="N27" s="141"/>
      <c r="O27" s="141"/>
      <c r="P27" s="141"/>
      <c r="Q27" s="141"/>
      <c r="R27" s="142">
        <f>M27</f>
        <v>186656</v>
      </c>
    </row>
    <row r="28" spans="1:18" ht="379.5" customHeight="1">
      <c r="A28" s="143" t="s">
        <v>142</v>
      </c>
      <c r="B28" s="145" t="s">
        <v>294</v>
      </c>
      <c r="C28" s="147"/>
      <c r="D28" s="146">
        <v>28652</v>
      </c>
      <c r="E28" s="147"/>
      <c r="F28" s="147"/>
      <c r="G28" s="147"/>
      <c r="H28" s="147"/>
      <c r="I28" s="148"/>
      <c r="J28" s="148"/>
      <c r="K28" s="148"/>
      <c r="L28" s="148"/>
      <c r="M28" s="141">
        <f t="shared" si="1"/>
        <v>28652</v>
      </c>
      <c r="N28" s="141"/>
      <c r="O28" s="141"/>
      <c r="P28" s="141"/>
      <c r="Q28" s="141"/>
      <c r="R28" s="142">
        <f>M28</f>
        <v>28652</v>
      </c>
    </row>
    <row r="29" spans="1:18" ht="78.75" customHeight="1">
      <c r="A29" s="143" t="s">
        <v>295</v>
      </c>
      <c r="B29" s="145" t="s">
        <v>296</v>
      </c>
      <c r="C29" s="147"/>
      <c r="D29" s="146">
        <v>501296</v>
      </c>
      <c r="E29" s="147"/>
      <c r="F29" s="147"/>
      <c r="G29" s="147"/>
      <c r="H29" s="147"/>
      <c r="I29" s="148"/>
      <c r="J29" s="148"/>
      <c r="K29" s="148"/>
      <c r="L29" s="148"/>
      <c r="M29" s="141">
        <f t="shared" si="1"/>
        <v>501296</v>
      </c>
      <c r="N29" s="141"/>
      <c r="O29" s="141"/>
      <c r="P29" s="141"/>
      <c r="Q29" s="141"/>
      <c r="R29" s="142">
        <f>M29</f>
        <v>501296</v>
      </c>
    </row>
    <row r="30" spans="1:18" ht="104.25" customHeight="1">
      <c r="A30" s="156" t="s">
        <v>373</v>
      </c>
      <c r="B30" s="145" t="s">
        <v>297</v>
      </c>
      <c r="C30" s="147"/>
      <c r="D30" s="146">
        <v>871530</v>
      </c>
      <c r="E30" s="147"/>
      <c r="F30" s="147"/>
      <c r="G30" s="147"/>
      <c r="H30" s="147"/>
      <c r="I30" s="148"/>
      <c r="J30" s="148"/>
      <c r="K30" s="148"/>
      <c r="L30" s="148"/>
      <c r="M30" s="141">
        <f t="shared" si="1"/>
        <v>871530</v>
      </c>
      <c r="N30" s="141"/>
      <c r="O30" s="141"/>
      <c r="P30" s="141"/>
      <c r="Q30" s="141"/>
      <c r="R30" s="142">
        <f>M30</f>
        <v>871530</v>
      </c>
    </row>
    <row r="31" spans="1:18" ht="4.5" customHeight="1">
      <c r="A31" s="520" t="s">
        <v>143</v>
      </c>
      <c r="B31" s="510" t="s">
        <v>298</v>
      </c>
      <c r="C31" s="511"/>
      <c r="D31" s="511"/>
      <c r="E31" s="512">
        <v>38228</v>
      </c>
      <c r="F31" s="511"/>
      <c r="G31" s="511"/>
      <c r="H31" s="511"/>
      <c r="I31" s="521"/>
      <c r="J31" s="149"/>
      <c r="K31" s="149"/>
      <c r="L31" s="149"/>
      <c r="M31" s="522">
        <f t="shared" si="1"/>
        <v>38228</v>
      </c>
      <c r="N31" s="150"/>
      <c r="O31" s="150"/>
      <c r="P31" s="150"/>
      <c r="Q31" s="150"/>
      <c r="R31" s="524">
        <f>M31</f>
        <v>38228</v>
      </c>
    </row>
    <row r="32" spans="1:18" ht="409.5" customHeight="1">
      <c r="A32" s="520"/>
      <c r="B32" s="510"/>
      <c r="C32" s="511"/>
      <c r="D32" s="511"/>
      <c r="E32" s="512"/>
      <c r="F32" s="511"/>
      <c r="G32" s="511"/>
      <c r="H32" s="511"/>
      <c r="I32" s="521"/>
      <c r="J32" s="154"/>
      <c r="K32" s="154"/>
      <c r="L32" s="154"/>
      <c r="M32" s="523"/>
      <c r="N32" s="155"/>
      <c r="O32" s="155"/>
      <c r="P32" s="155"/>
      <c r="Q32" s="155"/>
      <c r="R32" s="525"/>
    </row>
    <row r="33" spans="1:18" ht="142.5" customHeight="1">
      <c r="A33" s="153" t="s">
        <v>144</v>
      </c>
      <c r="B33" s="145" t="s">
        <v>299</v>
      </c>
      <c r="C33" s="147"/>
      <c r="D33" s="147"/>
      <c r="E33" s="146">
        <v>7125</v>
      </c>
      <c r="F33" s="147"/>
      <c r="G33" s="147"/>
      <c r="H33" s="147"/>
      <c r="I33" s="148"/>
      <c r="J33" s="148"/>
      <c r="K33" s="148"/>
      <c r="L33" s="148"/>
      <c r="M33" s="141">
        <f t="shared" si="1"/>
        <v>7125</v>
      </c>
      <c r="N33" s="141"/>
      <c r="O33" s="141"/>
      <c r="P33" s="141"/>
      <c r="Q33" s="141"/>
      <c r="R33" s="142">
        <f aca="true" t="shared" si="2" ref="R33:R39">M33</f>
        <v>7125</v>
      </c>
    </row>
    <row r="34" spans="1:18" ht="64.5" customHeight="1">
      <c r="A34" s="153" t="s">
        <v>300</v>
      </c>
      <c r="B34" s="145" t="s">
        <v>301</v>
      </c>
      <c r="C34" s="147"/>
      <c r="D34" s="147"/>
      <c r="E34" s="146">
        <v>433827</v>
      </c>
      <c r="F34" s="147"/>
      <c r="G34" s="147"/>
      <c r="H34" s="147"/>
      <c r="I34" s="148"/>
      <c r="J34" s="148"/>
      <c r="K34" s="148"/>
      <c r="L34" s="148"/>
      <c r="M34" s="141">
        <f>SUM(C34:I34)</f>
        <v>433827</v>
      </c>
      <c r="N34" s="141"/>
      <c r="O34" s="141"/>
      <c r="P34" s="141"/>
      <c r="Q34" s="141"/>
      <c r="R34" s="142">
        <f t="shared" si="2"/>
        <v>433827</v>
      </c>
    </row>
    <row r="35" spans="1:18" ht="102" customHeight="1">
      <c r="A35" s="143" t="s">
        <v>145</v>
      </c>
      <c r="B35" s="157">
        <v>170102</v>
      </c>
      <c r="C35" s="147"/>
      <c r="D35" s="147"/>
      <c r="E35" s="146">
        <v>52060</v>
      </c>
      <c r="F35" s="147"/>
      <c r="G35" s="147"/>
      <c r="H35" s="147"/>
      <c r="I35" s="148"/>
      <c r="J35" s="148"/>
      <c r="K35" s="148"/>
      <c r="L35" s="148"/>
      <c r="M35" s="141">
        <f>SUM(C35:I35)</f>
        <v>52060</v>
      </c>
      <c r="N35" s="141"/>
      <c r="O35" s="141"/>
      <c r="P35" s="141"/>
      <c r="Q35" s="141"/>
      <c r="R35" s="142">
        <f t="shared" si="2"/>
        <v>52060</v>
      </c>
    </row>
    <row r="36" spans="1:18" ht="81.75" customHeight="1">
      <c r="A36" s="143" t="s">
        <v>146</v>
      </c>
      <c r="B36" s="157">
        <v>170302</v>
      </c>
      <c r="C36" s="147"/>
      <c r="D36" s="147"/>
      <c r="E36" s="146">
        <v>0</v>
      </c>
      <c r="F36" s="147"/>
      <c r="G36" s="147"/>
      <c r="H36" s="147"/>
      <c r="I36" s="148"/>
      <c r="J36" s="148"/>
      <c r="K36" s="148"/>
      <c r="L36" s="148"/>
      <c r="M36" s="141">
        <f>SUM(C36:I36)</f>
        <v>0</v>
      </c>
      <c r="N36" s="141"/>
      <c r="O36" s="141"/>
      <c r="P36" s="141"/>
      <c r="Q36" s="141"/>
      <c r="R36" s="142">
        <f t="shared" si="2"/>
        <v>0</v>
      </c>
    </row>
    <row r="37" spans="1:18" ht="84" customHeight="1">
      <c r="A37" s="143" t="s">
        <v>147</v>
      </c>
      <c r="B37" s="157">
        <v>170602</v>
      </c>
      <c r="C37" s="147"/>
      <c r="D37" s="147"/>
      <c r="E37" s="146">
        <v>2757280</v>
      </c>
      <c r="F37" s="147"/>
      <c r="G37" s="147"/>
      <c r="H37" s="147"/>
      <c r="I37" s="148"/>
      <c r="J37" s="148"/>
      <c r="K37" s="148"/>
      <c r="L37" s="148"/>
      <c r="M37" s="141">
        <f>SUM(C37:I37)</f>
        <v>2757280</v>
      </c>
      <c r="N37" s="141"/>
      <c r="O37" s="141"/>
      <c r="P37" s="141"/>
      <c r="Q37" s="141"/>
      <c r="R37" s="142">
        <f t="shared" si="2"/>
        <v>2757280</v>
      </c>
    </row>
    <row r="38" spans="1:18" ht="409.5" customHeight="1">
      <c r="A38" s="153" t="s">
        <v>148</v>
      </c>
      <c r="B38" s="145" t="s">
        <v>596</v>
      </c>
      <c r="C38" s="158"/>
      <c r="D38" s="158"/>
      <c r="E38" s="159"/>
      <c r="F38" s="160">
        <v>0</v>
      </c>
      <c r="G38" s="147"/>
      <c r="H38" s="147"/>
      <c r="I38" s="148"/>
      <c r="J38" s="148"/>
      <c r="K38" s="148"/>
      <c r="L38" s="148"/>
      <c r="M38" s="161">
        <f>SUM(C38:I38)</f>
        <v>0</v>
      </c>
      <c r="N38" s="161"/>
      <c r="O38" s="161"/>
      <c r="P38" s="161"/>
      <c r="Q38" s="141"/>
      <c r="R38" s="142">
        <f t="shared" si="2"/>
        <v>0</v>
      </c>
    </row>
    <row r="39" spans="1:18" ht="349.5" customHeight="1">
      <c r="A39" s="153" t="s">
        <v>312</v>
      </c>
      <c r="B39" s="510" t="s">
        <v>351</v>
      </c>
      <c r="C39" s="511"/>
      <c r="D39" s="511"/>
      <c r="E39" s="511"/>
      <c r="F39" s="526">
        <v>0</v>
      </c>
      <c r="G39" s="511"/>
      <c r="H39" s="511"/>
      <c r="I39" s="513"/>
      <c r="J39" s="149"/>
      <c r="K39" s="149"/>
      <c r="L39" s="149"/>
      <c r="M39" s="527">
        <f>F39</f>
        <v>0</v>
      </c>
      <c r="N39" s="162"/>
      <c r="O39" s="162"/>
      <c r="P39" s="162"/>
      <c r="Q39" s="150"/>
      <c r="R39" s="530">
        <f t="shared" si="2"/>
        <v>0</v>
      </c>
    </row>
    <row r="40" spans="1:18" ht="375.75" customHeight="1">
      <c r="A40" s="153" t="s">
        <v>313</v>
      </c>
      <c r="B40" s="510"/>
      <c r="C40" s="511"/>
      <c r="D40" s="511"/>
      <c r="E40" s="511"/>
      <c r="F40" s="526"/>
      <c r="G40" s="511"/>
      <c r="H40" s="511"/>
      <c r="I40" s="514"/>
      <c r="J40" s="151"/>
      <c r="K40" s="151"/>
      <c r="L40" s="151"/>
      <c r="M40" s="528"/>
      <c r="N40" s="163"/>
      <c r="O40" s="163"/>
      <c r="P40" s="163"/>
      <c r="Q40" s="152"/>
      <c r="R40" s="531"/>
    </row>
    <row r="41" spans="1:18" ht="204.75" customHeight="1">
      <c r="A41" s="153" t="s">
        <v>314</v>
      </c>
      <c r="B41" s="510"/>
      <c r="C41" s="511"/>
      <c r="D41" s="511"/>
      <c r="E41" s="511"/>
      <c r="F41" s="526"/>
      <c r="G41" s="511"/>
      <c r="H41" s="511"/>
      <c r="I41" s="515"/>
      <c r="J41" s="154"/>
      <c r="K41" s="154"/>
      <c r="L41" s="154"/>
      <c r="M41" s="529"/>
      <c r="N41" s="164"/>
      <c r="O41" s="164"/>
      <c r="P41" s="164"/>
      <c r="Q41" s="155"/>
      <c r="R41" s="519"/>
    </row>
    <row r="42" spans="1:18" ht="186.75" customHeight="1">
      <c r="A42" s="156" t="s">
        <v>352</v>
      </c>
      <c r="B42" s="145" t="s">
        <v>353</v>
      </c>
      <c r="C42" s="147"/>
      <c r="D42" s="147"/>
      <c r="E42" s="147"/>
      <c r="F42" s="160">
        <v>0</v>
      </c>
      <c r="G42" s="147"/>
      <c r="H42" s="147"/>
      <c r="I42" s="148"/>
      <c r="J42" s="148"/>
      <c r="K42" s="148"/>
      <c r="L42" s="148"/>
      <c r="M42" s="161">
        <f>SUM(C42:I42)</f>
        <v>0</v>
      </c>
      <c r="N42" s="161"/>
      <c r="O42" s="161"/>
      <c r="P42" s="161"/>
      <c r="Q42" s="141"/>
      <c r="R42" s="142">
        <f>M42</f>
        <v>0</v>
      </c>
    </row>
    <row r="43" spans="1:18" ht="68.25" customHeight="1">
      <c r="A43" s="156" t="s">
        <v>315</v>
      </c>
      <c r="B43" s="145" t="s">
        <v>354</v>
      </c>
      <c r="C43" s="147"/>
      <c r="D43" s="147"/>
      <c r="E43" s="147"/>
      <c r="F43" s="160">
        <v>0</v>
      </c>
      <c r="G43" s="147"/>
      <c r="H43" s="147"/>
      <c r="I43" s="148"/>
      <c r="J43" s="148"/>
      <c r="K43" s="148"/>
      <c r="L43" s="148"/>
      <c r="M43" s="161">
        <f>SUM(C43:I43)</f>
        <v>0</v>
      </c>
      <c r="N43" s="161"/>
      <c r="O43" s="161"/>
      <c r="P43" s="161"/>
      <c r="Q43" s="141"/>
      <c r="R43" s="142">
        <f>M43</f>
        <v>0</v>
      </c>
    </row>
    <row r="44" spans="1:18" ht="75" customHeight="1">
      <c r="A44" s="156" t="s">
        <v>316</v>
      </c>
      <c r="B44" s="145" t="s">
        <v>355</v>
      </c>
      <c r="C44" s="147"/>
      <c r="D44" s="147"/>
      <c r="E44" s="147"/>
      <c r="F44" s="146">
        <v>74066</v>
      </c>
      <c r="G44" s="165"/>
      <c r="H44" s="165"/>
      <c r="I44" s="166"/>
      <c r="J44" s="166"/>
      <c r="K44" s="166"/>
      <c r="L44" s="166"/>
      <c r="M44" s="141">
        <f>SUM(C44:I44)</f>
        <v>74066</v>
      </c>
      <c r="N44" s="141"/>
      <c r="O44" s="141"/>
      <c r="P44" s="141"/>
      <c r="Q44" s="141"/>
      <c r="R44" s="142">
        <f>M44</f>
        <v>74066</v>
      </c>
    </row>
    <row r="45" spans="1:18" ht="165" customHeight="1">
      <c r="A45" s="143" t="s">
        <v>317</v>
      </c>
      <c r="B45" s="145" t="s">
        <v>547</v>
      </c>
      <c r="C45" s="147"/>
      <c r="D45" s="147"/>
      <c r="E45" s="147"/>
      <c r="F45" s="146">
        <v>17134</v>
      </c>
      <c r="G45" s="165"/>
      <c r="H45" s="165"/>
      <c r="I45" s="166"/>
      <c r="J45" s="166"/>
      <c r="K45" s="166"/>
      <c r="L45" s="166"/>
      <c r="M45" s="141">
        <f>SUM(C45:I45)</f>
        <v>17134</v>
      </c>
      <c r="N45" s="141"/>
      <c r="O45" s="141"/>
      <c r="P45" s="141"/>
      <c r="Q45" s="141"/>
      <c r="R45" s="142">
        <f>M45</f>
        <v>17134</v>
      </c>
    </row>
    <row r="46" spans="1:18" ht="84.75" customHeight="1">
      <c r="A46" s="167" t="s">
        <v>318</v>
      </c>
      <c r="B46" s="145" t="s">
        <v>548</v>
      </c>
      <c r="C46" s="147"/>
      <c r="D46" s="147"/>
      <c r="E46" s="147"/>
      <c r="F46" s="168"/>
      <c r="G46" s="165"/>
      <c r="H46" s="165"/>
      <c r="I46" s="166"/>
      <c r="J46" s="166"/>
      <c r="K46" s="166"/>
      <c r="L46" s="166"/>
      <c r="M46" s="141">
        <f>SUM(J46)</f>
        <v>0</v>
      </c>
      <c r="N46" s="141"/>
      <c r="O46" s="141"/>
      <c r="P46" s="141"/>
      <c r="Q46" s="141"/>
      <c r="R46" s="142">
        <f>SUM(M46+Q46)</f>
        <v>0</v>
      </c>
    </row>
    <row r="47" spans="1:18" ht="84.75" customHeight="1">
      <c r="A47" s="167" t="s">
        <v>333</v>
      </c>
      <c r="B47" s="145" t="s">
        <v>549</v>
      </c>
      <c r="C47" s="147"/>
      <c r="D47" s="147"/>
      <c r="E47" s="147"/>
      <c r="F47" s="168"/>
      <c r="G47" s="165"/>
      <c r="H47" s="165"/>
      <c r="I47" s="166"/>
      <c r="J47" s="166"/>
      <c r="K47" s="166"/>
      <c r="L47" s="166"/>
      <c r="M47" s="141">
        <f>SUM(J47)</f>
        <v>0</v>
      </c>
      <c r="N47" s="141"/>
      <c r="O47" s="141"/>
      <c r="P47" s="141"/>
      <c r="Q47" s="141"/>
      <c r="R47" s="142">
        <f>SUM(M47+Q47)</f>
        <v>0</v>
      </c>
    </row>
    <row r="48" spans="1:18" ht="84.75" customHeight="1">
      <c r="A48" s="167" t="s">
        <v>386</v>
      </c>
      <c r="B48" s="145" t="s">
        <v>550</v>
      </c>
      <c r="C48" s="147"/>
      <c r="D48" s="147"/>
      <c r="E48" s="147"/>
      <c r="F48" s="168"/>
      <c r="G48" s="165"/>
      <c r="H48" s="165"/>
      <c r="I48" s="166"/>
      <c r="J48" s="166"/>
      <c r="K48" s="166"/>
      <c r="L48" s="166"/>
      <c r="M48" s="141"/>
      <c r="N48" s="141"/>
      <c r="O48" s="141"/>
      <c r="P48" s="141"/>
      <c r="Q48" s="169">
        <v>1187393.6</v>
      </c>
      <c r="R48" s="142">
        <f>M48+Q48</f>
        <v>1187393.6</v>
      </c>
    </row>
    <row r="49" spans="1:18" ht="107.25" customHeight="1">
      <c r="A49" s="167" t="s">
        <v>334</v>
      </c>
      <c r="B49" s="145" t="s">
        <v>551</v>
      </c>
      <c r="C49" s="147"/>
      <c r="D49" s="147"/>
      <c r="E49" s="147"/>
      <c r="F49" s="168"/>
      <c r="G49" s="165"/>
      <c r="H49" s="165"/>
      <c r="I49" s="166"/>
      <c r="J49" s="166"/>
      <c r="K49" s="166"/>
      <c r="L49" s="166"/>
      <c r="M49" s="141">
        <f>SUM(K49)</f>
        <v>0</v>
      </c>
      <c r="N49" s="141"/>
      <c r="O49" s="141"/>
      <c r="P49" s="141"/>
      <c r="Q49" s="169"/>
      <c r="R49" s="142">
        <f>SUM(M49+Q49)</f>
        <v>0</v>
      </c>
    </row>
    <row r="50" spans="1:18" ht="84.75" customHeight="1">
      <c r="A50" s="167" t="s">
        <v>543</v>
      </c>
      <c r="B50" s="145" t="s">
        <v>552</v>
      </c>
      <c r="C50" s="147"/>
      <c r="D50" s="147"/>
      <c r="E50" s="147"/>
      <c r="F50" s="168"/>
      <c r="G50" s="165"/>
      <c r="H50" s="165"/>
      <c r="I50" s="166"/>
      <c r="J50" s="166"/>
      <c r="K50" s="166"/>
      <c r="L50" s="166"/>
      <c r="M50" s="161"/>
      <c r="N50" s="161"/>
      <c r="O50" s="161"/>
      <c r="P50" s="161"/>
      <c r="Q50" s="169">
        <v>200366.4</v>
      </c>
      <c r="R50" s="142">
        <f>SUM(Q50)</f>
        <v>200366.4</v>
      </c>
    </row>
    <row r="51" spans="1:21" ht="49.5" customHeight="1">
      <c r="A51" s="170" t="s">
        <v>335</v>
      </c>
      <c r="B51" s="171"/>
      <c r="C51" s="172">
        <f aca="true" t="shared" si="3" ref="C51:H51">SUM(C13:C45)</f>
        <v>92498840</v>
      </c>
      <c r="D51" s="172">
        <f t="shared" si="3"/>
        <v>9341920</v>
      </c>
      <c r="E51" s="172">
        <f t="shared" si="3"/>
        <v>3288520</v>
      </c>
      <c r="F51" s="172">
        <f t="shared" si="3"/>
        <v>91200</v>
      </c>
      <c r="G51" s="172">
        <f t="shared" si="3"/>
        <v>1760160</v>
      </c>
      <c r="H51" s="172">
        <f t="shared" si="3"/>
        <v>0</v>
      </c>
      <c r="I51" s="172">
        <f>SUM(I50)</f>
        <v>0</v>
      </c>
      <c r="J51" s="172">
        <f>SUM(J46:J47)</f>
        <v>0</v>
      </c>
      <c r="K51" s="172">
        <f>SUM(K49)</f>
        <v>0</v>
      </c>
      <c r="L51" s="172"/>
      <c r="M51" s="173">
        <f>SUM(M13:M50)</f>
        <v>106980640</v>
      </c>
      <c r="N51" s="173"/>
      <c r="O51" s="173"/>
      <c r="P51" s="173"/>
      <c r="Q51" s="173">
        <f>SUM(Q48:Q50)</f>
        <v>1387760</v>
      </c>
      <c r="R51" s="173">
        <f>SUM(R13:R50)</f>
        <v>108368400</v>
      </c>
      <c r="T51" s="174"/>
      <c r="U51" s="175"/>
    </row>
    <row r="52" spans="1:21" ht="49.5" customHeight="1">
      <c r="A52" s="156"/>
      <c r="B52" s="176"/>
      <c r="C52" s="177"/>
      <c r="D52" s="178"/>
      <c r="E52" s="178"/>
      <c r="F52" s="178"/>
      <c r="G52" s="178"/>
      <c r="H52" s="178"/>
      <c r="I52" s="178"/>
      <c r="J52" s="178"/>
      <c r="K52" s="178"/>
      <c r="L52" s="178"/>
      <c r="M52" s="169"/>
      <c r="N52" s="169"/>
      <c r="O52" s="169"/>
      <c r="P52" s="169"/>
      <c r="Q52" s="169"/>
      <c r="R52" s="169"/>
      <c r="T52" s="174"/>
      <c r="U52" s="175"/>
    </row>
    <row r="53" spans="1:21" ht="49.5" customHeight="1">
      <c r="A53" s="156"/>
      <c r="B53" s="176"/>
      <c r="C53" s="116" t="s">
        <v>336</v>
      </c>
      <c r="D53" s="105"/>
      <c r="E53" s="105"/>
      <c r="F53" s="105"/>
      <c r="G53" s="105"/>
      <c r="H53" s="105"/>
      <c r="I53" s="106"/>
      <c r="J53" s="106"/>
      <c r="K53" s="178"/>
      <c r="L53" s="178"/>
      <c r="M53" s="169"/>
      <c r="N53" s="169"/>
      <c r="O53" s="169"/>
      <c r="P53" s="169"/>
      <c r="Q53" s="169"/>
      <c r="R53" s="169"/>
      <c r="T53" s="174"/>
      <c r="U53" s="175"/>
    </row>
    <row r="54" spans="1:21" ht="109.5" customHeight="1">
      <c r="A54" s="129" t="s">
        <v>611</v>
      </c>
      <c r="B54" s="130" t="s">
        <v>612</v>
      </c>
      <c r="C54" s="131"/>
      <c r="D54" s="132"/>
      <c r="E54" s="131"/>
      <c r="F54" s="131"/>
      <c r="G54" s="179">
        <v>6447840</v>
      </c>
      <c r="H54" s="131"/>
      <c r="I54" s="134"/>
      <c r="J54" s="134"/>
      <c r="K54" s="134"/>
      <c r="L54" s="134"/>
      <c r="M54" s="169">
        <f>SUM(G54)</f>
        <v>6447840</v>
      </c>
      <c r="N54" s="169"/>
      <c r="O54" s="169"/>
      <c r="P54" s="169"/>
      <c r="Q54" s="169"/>
      <c r="R54" s="169">
        <f>SUM(M54)</f>
        <v>6447840</v>
      </c>
      <c r="T54" s="174"/>
      <c r="U54" s="175"/>
    </row>
    <row r="55" spans="1:21" ht="49.5" customHeight="1">
      <c r="A55" s="136" t="s">
        <v>572</v>
      </c>
      <c r="B55" s="137" t="s">
        <v>613</v>
      </c>
      <c r="C55" s="138">
        <v>3218060</v>
      </c>
      <c r="D55" s="139"/>
      <c r="E55" s="139"/>
      <c r="F55" s="139"/>
      <c r="G55" s="139"/>
      <c r="H55" s="139"/>
      <c r="I55" s="140"/>
      <c r="J55" s="140"/>
      <c r="K55" s="140"/>
      <c r="L55" s="140"/>
      <c r="M55" s="169">
        <f>SUM(C55)</f>
        <v>3218060</v>
      </c>
      <c r="N55" s="169"/>
      <c r="O55" s="169"/>
      <c r="P55" s="169"/>
      <c r="Q55" s="169"/>
      <c r="R55" s="169">
        <f aca="true" t="shared" si="4" ref="R55:R63">SUM(M55)</f>
        <v>3218060</v>
      </c>
      <c r="T55" s="174"/>
      <c r="U55" s="175"/>
    </row>
    <row r="56" spans="1:21" ht="49.5" customHeight="1">
      <c r="A56" s="136" t="s">
        <v>573</v>
      </c>
      <c r="B56" s="137" t="s">
        <v>614</v>
      </c>
      <c r="C56" s="138">
        <f>65762249-4874000</f>
        <v>60888249</v>
      </c>
      <c r="D56" s="139"/>
      <c r="E56" s="139"/>
      <c r="F56" s="139"/>
      <c r="G56" s="139"/>
      <c r="H56" s="139"/>
      <c r="I56" s="140"/>
      <c r="J56" s="140"/>
      <c r="K56" s="140"/>
      <c r="L56" s="140"/>
      <c r="M56" s="169">
        <f aca="true" t="shared" si="5" ref="M56:M61">SUM(C56)</f>
        <v>60888249</v>
      </c>
      <c r="N56" s="169"/>
      <c r="O56" s="169"/>
      <c r="P56" s="169"/>
      <c r="Q56" s="169"/>
      <c r="R56" s="169">
        <f t="shared" si="4"/>
        <v>60888249</v>
      </c>
      <c r="T56" s="174"/>
      <c r="U56" s="175"/>
    </row>
    <row r="57" spans="1:21" ht="49.5" customHeight="1">
      <c r="A57" s="136" t="s">
        <v>615</v>
      </c>
      <c r="B57" s="137" t="s">
        <v>616</v>
      </c>
      <c r="C57" s="138">
        <f>175686160-31660500</f>
        <v>144025660</v>
      </c>
      <c r="D57" s="139"/>
      <c r="E57" s="139"/>
      <c r="F57" s="139"/>
      <c r="G57" s="139"/>
      <c r="H57" s="139"/>
      <c r="I57" s="140"/>
      <c r="J57" s="140"/>
      <c r="K57" s="140"/>
      <c r="L57" s="140"/>
      <c r="M57" s="169">
        <f t="shared" si="5"/>
        <v>144025660</v>
      </c>
      <c r="N57" s="169"/>
      <c r="O57" s="169"/>
      <c r="P57" s="169"/>
      <c r="Q57" s="169"/>
      <c r="R57" s="169">
        <f t="shared" si="4"/>
        <v>144025660</v>
      </c>
      <c r="T57" s="174"/>
      <c r="U57" s="175"/>
    </row>
    <row r="58" spans="1:21" ht="66.75" customHeight="1">
      <c r="A58" s="136" t="s">
        <v>617</v>
      </c>
      <c r="B58" s="137" t="s">
        <v>618</v>
      </c>
      <c r="C58" s="138">
        <f>11716977+2515000</f>
        <v>14231977</v>
      </c>
      <c r="D58" s="139"/>
      <c r="E58" s="139"/>
      <c r="F58" s="139"/>
      <c r="G58" s="139"/>
      <c r="H58" s="139"/>
      <c r="I58" s="140"/>
      <c r="J58" s="140"/>
      <c r="K58" s="140"/>
      <c r="L58" s="140"/>
      <c r="M58" s="169">
        <f t="shared" si="5"/>
        <v>14231977</v>
      </c>
      <c r="N58" s="169"/>
      <c r="O58" s="169"/>
      <c r="P58" s="169"/>
      <c r="Q58" s="169"/>
      <c r="R58" s="169">
        <f t="shared" si="4"/>
        <v>14231977</v>
      </c>
      <c r="T58" s="174"/>
      <c r="U58" s="175"/>
    </row>
    <row r="59" spans="1:21" ht="49.5" customHeight="1">
      <c r="A59" s="136" t="s">
        <v>619</v>
      </c>
      <c r="B59" s="137" t="s">
        <v>620</v>
      </c>
      <c r="C59" s="138">
        <f>30671168+5030000</f>
        <v>35701168</v>
      </c>
      <c r="D59" s="139"/>
      <c r="E59" s="139"/>
      <c r="F59" s="139"/>
      <c r="G59" s="139"/>
      <c r="H59" s="139"/>
      <c r="I59" s="140"/>
      <c r="J59" s="140"/>
      <c r="K59" s="140"/>
      <c r="L59" s="140"/>
      <c r="M59" s="169">
        <f t="shared" si="5"/>
        <v>35701168</v>
      </c>
      <c r="N59" s="169"/>
      <c r="O59" s="169"/>
      <c r="P59" s="169"/>
      <c r="Q59" s="169"/>
      <c r="R59" s="169">
        <f t="shared" si="4"/>
        <v>35701168</v>
      </c>
      <c r="T59" s="174"/>
      <c r="U59" s="175"/>
    </row>
    <row r="60" spans="1:21" ht="49.5" customHeight="1">
      <c r="A60" s="143" t="s">
        <v>621</v>
      </c>
      <c r="B60" s="137" t="s">
        <v>622</v>
      </c>
      <c r="C60" s="138">
        <f>1995095+155000</f>
        <v>2150095</v>
      </c>
      <c r="D60" s="139"/>
      <c r="E60" s="139"/>
      <c r="F60" s="139"/>
      <c r="G60" s="139"/>
      <c r="H60" s="139"/>
      <c r="I60" s="140"/>
      <c r="J60" s="140"/>
      <c r="K60" s="140"/>
      <c r="L60" s="140"/>
      <c r="M60" s="169">
        <f t="shared" si="5"/>
        <v>2150095</v>
      </c>
      <c r="N60" s="169"/>
      <c r="O60" s="169"/>
      <c r="P60" s="169"/>
      <c r="Q60" s="169"/>
      <c r="R60" s="169">
        <f t="shared" si="4"/>
        <v>2150095</v>
      </c>
      <c r="T60" s="174"/>
      <c r="U60" s="175"/>
    </row>
    <row r="61" spans="1:21" ht="77.25" customHeight="1">
      <c r="A61" s="143" t="s">
        <v>623</v>
      </c>
      <c r="B61" s="137" t="s">
        <v>624</v>
      </c>
      <c r="C61" s="138">
        <f>1126841-495500</f>
        <v>631341</v>
      </c>
      <c r="D61" s="139"/>
      <c r="E61" s="139"/>
      <c r="F61" s="139"/>
      <c r="G61" s="139"/>
      <c r="H61" s="139"/>
      <c r="I61" s="140"/>
      <c r="J61" s="140"/>
      <c r="K61" s="140"/>
      <c r="L61" s="140"/>
      <c r="M61" s="169">
        <f t="shared" si="5"/>
        <v>631341</v>
      </c>
      <c r="N61" s="169"/>
      <c r="O61" s="169"/>
      <c r="P61" s="169"/>
      <c r="Q61" s="169"/>
      <c r="R61" s="169">
        <f t="shared" si="4"/>
        <v>631341</v>
      </c>
      <c r="T61" s="174"/>
      <c r="U61" s="175"/>
    </row>
    <row r="62" spans="1:21" ht="77.25" customHeight="1">
      <c r="A62" s="136" t="s">
        <v>574</v>
      </c>
      <c r="B62" s="137" t="s">
        <v>625</v>
      </c>
      <c r="C62" s="138">
        <f>18632464+14100000</f>
        <v>32732464</v>
      </c>
      <c r="D62" s="139"/>
      <c r="E62" s="139"/>
      <c r="F62" s="139"/>
      <c r="G62" s="139"/>
      <c r="H62" s="139"/>
      <c r="I62" s="140"/>
      <c r="J62" s="140"/>
      <c r="K62" s="140"/>
      <c r="L62" s="140"/>
      <c r="M62" s="169">
        <f>SUM(C62)</f>
        <v>32732464</v>
      </c>
      <c r="N62" s="169"/>
      <c r="O62" s="169"/>
      <c r="P62" s="169"/>
      <c r="Q62" s="169"/>
      <c r="R62" s="169">
        <f t="shared" si="4"/>
        <v>32732464</v>
      </c>
      <c r="T62" s="174"/>
      <c r="U62" s="175"/>
    </row>
    <row r="63" spans="1:21" ht="93" customHeight="1">
      <c r="A63" s="136" t="s">
        <v>626</v>
      </c>
      <c r="B63" s="137" t="s">
        <v>627</v>
      </c>
      <c r="C63" s="138">
        <f>41898306+15230000</f>
        <v>57128306</v>
      </c>
      <c r="D63" s="139"/>
      <c r="E63" s="139"/>
      <c r="F63" s="139"/>
      <c r="G63" s="139"/>
      <c r="H63" s="139"/>
      <c r="I63" s="140"/>
      <c r="J63" s="140"/>
      <c r="K63" s="140"/>
      <c r="L63" s="140"/>
      <c r="M63" s="169">
        <f>SUM(C63)</f>
        <v>57128306</v>
      </c>
      <c r="N63" s="169"/>
      <c r="O63" s="169"/>
      <c r="P63" s="169"/>
      <c r="Q63" s="169"/>
      <c r="R63" s="169">
        <f t="shared" si="4"/>
        <v>57128306</v>
      </c>
      <c r="T63" s="174"/>
      <c r="U63" s="175"/>
    </row>
    <row r="64" spans="1:21" ht="409.5" customHeight="1">
      <c r="A64" s="144" t="s">
        <v>337</v>
      </c>
      <c r="B64" s="145" t="s">
        <v>575</v>
      </c>
      <c r="C64" s="160"/>
      <c r="D64" s="146">
        <v>29632362</v>
      </c>
      <c r="E64" s="147"/>
      <c r="F64" s="147"/>
      <c r="G64" s="147"/>
      <c r="H64" s="147"/>
      <c r="I64" s="148"/>
      <c r="J64" s="148"/>
      <c r="K64" s="148"/>
      <c r="L64" s="148"/>
      <c r="M64" s="169">
        <f>SUM(D64)</f>
        <v>29632362</v>
      </c>
      <c r="N64" s="169"/>
      <c r="O64" s="169"/>
      <c r="P64" s="169"/>
      <c r="Q64" s="169"/>
      <c r="R64" s="169">
        <f>SUM(M64)</f>
        <v>29632362</v>
      </c>
      <c r="T64" s="174"/>
      <c r="U64" s="175"/>
    </row>
    <row r="65" spans="1:21" ht="201.75" customHeight="1">
      <c r="A65" s="144" t="s">
        <v>746</v>
      </c>
      <c r="B65" s="510" t="s">
        <v>571</v>
      </c>
      <c r="C65" s="511"/>
      <c r="D65" s="526">
        <v>11636284</v>
      </c>
      <c r="E65" s="511"/>
      <c r="F65" s="511"/>
      <c r="G65" s="511"/>
      <c r="H65" s="511"/>
      <c r="I65" s="513"/>
      <c r="J65" s="149"/>
      <c r="K65" s="149"/>
      <c r="L65" s="149"/>
      <c r="M65" s="180"/>
      <c r="N65" s="180"/>
      <c r="O65" s="180"/>
      <c r="P65" s="180"/>
      <c r="Q65" s="169"/>
      <c r="R65" s="169"/>
      <c r="T65" s="174"/>
      <c r="U65" s="175"/>
    </row>
    <row r="66" spans="1:21" ht="242.25" customHeight="1">
      <c r="A66" s="144" t="s">
        <v>747</v>
      </c>
      <c r="B66" s="510"/>
      <c r="C66" s="511"/>
      <c r="D66" s="526"/>
      <c r="E66" s="511"/>
      <c r="F66" s="511"/>
      <c r="G66" s="511"/>
      <c r="H66" s="511"/>
      <c r="I66" s="514"/>
      <c r="J66" s="151"/>
      <c r="K66" s="151"/>
      <c r="L66" s="151"/>
      <c r="M66" s="180"/>
      <c r="N66" s="180"/>
      <c r="O66" s="180"/>
      <c r="P66" s="180"/>
      <c r="Q66" s="169"/>
      <c r="R66" s="169"/>
      <c r="T66" s="174"/>
      <c r="U66" s="175"/>
    </row>
    <row r="67" spans="1:21" ht="409.5" customHeight="1">
      <c r="A67" s="153" t="s">
        <v>140</v>
      </c>
      <c r="B67" s="510"/>
      <c r="C67" s="511"/>
      <c r="D67" s="526"/>
      <c r="E67" s="511"/>
      <c r="F67" s="511"/>
      <c r="G67" s="511"/>
      <c r="H67" s="511"/>
      <c r="I67" s="515"/>
      <c r="J67" s="154"/>
      <c r="K67" s="154"/>
      <c r="L67" s="154"/>
      <c r="M67" s="169">
        <f>SUM(D65)</f>
        <v>11636284</v>
      </c>
      <c r="N67" s="169"/>
      <c r="O67" s="169"/>
      <c r="P67" s="169"/>
      <c r="Q67" s="169"/>
      <c r="R67" s="169">
        <f>SUM(M67)</f>
        <v>11636284</v>
      </c>
      <c r="T67" s="174"/>
      <c r="U67" s="175"/>
    </row>
    <row r="68" spans="1:21" ht="177" customHeight="1">
      <c r="A68" s="143" t="s">
        <v>141</v>
      </c>
      <c r="B68" s="145" t="s">
        <v>725</v>
      </c>
      <c r="C68" s="147"/>
      <c r="D68" s="146">
        <v>1336916</v>
      </c>
      <c r="E68" s="147"/>
      <c r="F68" s="147"/>
      <c r="G68" s="147"/>
      <c r="H68" s="147"/>
      <c r="I68" s="148"/>
      <c r="J68" s="148"/>
      <c r="K68" s="148"/>
      <c r="L68" s="148"/>
      <c r="M68" s="169">
        <f>SUM(D68)</f>
        <v>1336916</v>
      </c>
      <c r="N68" s="169"/>
      <c r="O68" s="169"/>
      <c r="P68" s="169"/>
      <c r="Q68" s="169"/>
      <c r="R68" s="169">
        <f>SUM(M68)</f>
        <v>1336916</v>
      </c>
      <c r="T68" s="174"/>
      <c r="U68" s="175"/>
    </row>
    <row r="69" spans="1:21" ht="404.25" customHeight="1">
      <c r="A69" s="143" t="s">
        <v>142</v>
      </c>
      <c r="B69" s="145" t="s">
        <v>294</v>
      </c>
      <c r="C69" s="147"/>
      <c r="D69" s="146">
        <v>304912</v>
      </c>
      <c r="E69" s="147"/>
      <c r="F69" s="147"/>
      <c r="G69" s="147"/>
      <c r="H69" s="147"/>
      <c r="I69" s="148"/>
      <c r="J69" s="148"/>
      <c r="K69" s="148"/>
      <c r="L69" s="148"/>
      <c r="M69" s="169">
        <f>SUM(D69)</f>
        <v>304912</v>
      </c>
      <c r="N69" s="169"/>
      <c r="O69" s="169"/>
      <c r="P69" s="169"/>
      <c r="Q69" s="169"/>
      <c r="R69" s="169">
        <f>SUM(M69)</f>
        <v>304912</v>
      </c>
      <c r="T69" s="174"/>
      <c r="U69" s="175"/>
    </row>
    <row r="70" spans="1:21" ht="77.25" customHeight="1">
      <c r="A70" s="143" t="s">
        <v>295</v>
      </c>
      <c r="B70" s="145" t="s">
        <v>296</v>
      </c>
      <c r="C70" s="147"/>
      <c r="D70" s="146">
        <v>2976996</v>
      </c>
      <c r="E70" s="147"/>
      <c r="F70" s="147"/>
      <c r="G70" s="147"/>
      <c r="H70" s="147"/>
      <c r="I70" s="148"/>
      <c r="J70" s="148"/>
      <c r="K70" s="148"/>
      <c r="L70" s="148"/>
      <c r="M70" s="169">
        <f>SUM(D70)</f>
        <v>2976996</v>
      </c>
      <c r="N70" s="169"/>
      <c r="O70" s="169"/>
      <c r="P70" s="169"/>
      <c r="Q70" s="169"/>
      <c r="R70" s="169">
        <f>SUM(M70)</f>
        <v>2976996</v>
      </c>
      <c r="T70" s="174"/>
      <c r="U70" s="175"/>
    </row>
    <row r="71" spans="1:21" ht="100.5" customHeight="1">
      <c r="A71" s="156" t="s">
        <v>338</v>
      </c>
      <c r="B71" s="145" t="s">
        <v>297</v>
      </c>
      <c r="C71" s="147"/>
      <c r="D71" s="146">
        <v>8062270</v>
      </c>
      <c r="E71" s="147"/>
      <c r="F71" s="147"/>
      <c r="G71" s="147"/>
      <c r="H71" s="147"/>
      <c r="I71" s="148"/>
      <c r="J71" s="148"/>
      <c r="K71" s="148"/>
      <c r="L71" s="148"/>
      <c r="M71" s="169">
        <f>SUM(D71)</f>
        <v>8062270</v>
      </c>
      <c r="N71" s="169"/>
      <c r="O71" s="169"/>
      <c r="P71" s="169"/>
      <c r="Q71" s="169"/>
      <c r="R71" s="169">
        <f>SUM(M71)</f>
        <v>8062270</v>
      </c>
      <c r="T71" s="174"/>
      <c r="U71" s="175"/>
    </row>
    <row r="72" spans="1:21" ht="49.5" customHeight="1">
      <c r="A72" s="520" t="s">
        <v>339</v>
      </c>
      <c r="B72" s="510" t="s">
        <v>298</v>
      </c>
      <c r="C72" s="511"/>
      <c r="D72" s="511"/>
      <c r="E72" s="512">
        <v>664734</v>
      </c>
      <c r="F72" s="511"/>
      <c r="G72" s="511"/>
      <c r="H72" s="511"/>
      <c r="I72" s="521"/>
      <c r="J72" s="149"/>
      <c r="K72" s="149"/>
      <c r="L72" s="149"/>
      <c r="M72" s="169"/>
      <c r="N72" s="169"/>
      <c r="O72" s="169"/>
      <c r="P72" s="169"/>
      <c r="Q72" s="169"/>
      <c r="R72" s="169"/>
      <c r="T72" s="174"/>
      <c r="U72" s="175"/>
    </row>
    <row r="73" spans="1:21" ht="409.5" customHeight="1">
      <c r="A73" s="520"/>
      <c r="B73" s="510"/>
      <c r="C73" s="511"/>
      <c r="D73" s="511"/>
      <c r="E73" s="512"/>
      <c r="F73" s="511"/>
      <c r="G73" s="511"/>
      <c r="H73" s="511"/>
      <c r="I73" s="521"/>
      <c r="J73" s="154"/>
      <c r="K73" s="154"/>
      <c r="L73" s="154"/>
      <c r="M73" s="169">
        <f>SUM(E72)</f>
        <v>664734</v>
      </c>
      <c r="N73" s="169"/>
      <c r="O73" s="169"/>
      <c r="P73" s="169"/>
      <c r="Q73" s="169"/>
      <c r="R73" s="169">
        <f aca="true" t="shared" si="6" ref="R73:R78">SUM(M73)</f>
        <v>664734</v>
      </c>
      <c r="T73" s="174"/>
      <c r="U73" s="175"/>
    </row>
    <row r="74" spans="1:21" ht="169.5" customHeight="1">
      <c r="A74" s="153" t="s">
        <v>144</v>
      </c>
      <c r="B74" s="145" t="s">
        <v>299</v>
      </c>
      <c r="C74" s="147"/>
      <c r="D74" s="147"/>
      <c r="E74" s="146">
        <v>75526</v>
      </c>
      <c r="F74" s="147"/>
      <c r="G74" s="147"/>
      <c r="H74" s="147"/>
      <c r="I74" s="148"/>
      <c r="J74" s="148"/>
      <c r="K74" s="148"/>
      <c r="L74" s="148"/>
      <c r="M74" s="169">
        <f>SUM(E74)</f>
        <v>75526</v>
      </c>
      <c r="N74" s="169"/>
      <c r="O74" s="169"/>
      <c r="P74" s="169"/>
      <c r="Q74" s="169"/>
      <c r="R74" s="169">
        <f t="shared" si="6"/>
        <v>75526</v>
      </c>
      <c r="T74" s="174"/>
      <c r="U74" s="175"/>
    </row>
    <row r="75" spans="1:21" ht="49.5" customHeight="1">
      <c r="A75" s="153" t="s">
        <v>300</v>
      </c>
      <c r="B75" s="145" t="s">
        <v>301</v>
      </c>
      <c r="C75" s="147"/>
      <c r="D75" s="147"/>
      <c r="E75" s="146">
        <v>3792760</v>
      </c>
      <c r="F75" s="147"/>
      <c r="G75" s="147"/>
      <c r="H75" s="147"/>
      <c r="I75" s="148"/>
      <c r="J75" s="148"/>
      <c r="K75" s="148"/>
      <c r="L75" s="148"/>
      <c r="M75" s="169">
        <f>SUM(E75)</f>
        <v>3792760</v>
      </c>
      <c r="N75" s="169"/>
      <c r="O75" s="169"/>
      <c r="P75" s="169"/>
      <c r="Q75" s="169"/>
      <c r="R75" s="169">
        <f t="shared" si="6"/>
        <v>3792760</v>
      </c>
      <c r="T75" s="174"/>
      <c r="U75" s="175"/>
    </row>
    <row r="76" spans="1:21" ht="107.25" customHeight="1">
      <c r="A76" s="143" t="s">
        <v>145</v>
      </c>
      <c r="B76" s="157">
        <v>170102</v>
      </c>
      <c r="C76" s="147"/>
      <c r="D76" s="147"/>
      <c r="E76" s="146">
        <v>1467940</v>
      </c>
      <c r="F76" s="147"/>
      <c r="G76" s="147"/>
      <c r="H76" s="147"/>
      <c r="I76" s="148"/>
      <c r="J76" s="148"/>
      <c r="K76" s="148"/>
      <c r="L76" s="148"/>
      <c r="M76" s="169">
        <f>SUM(E76)</f>
        <v>1467940</v>
      </c>
      <c r="N76" s="169"/>
      <c r="O76" s="169"/>
      <c r="P76" s="169"/>
      <c r="Q76" s="169"/>
      <c r="R76" s="169">
        <f t="shared" si="6"/>
        <v>1467940</v>
      </c>
      <c r="T76" s="174"/>
      <c r="U76" s="175"/>
    </row>
    <row r="77" spans="1:21" ht="92.25" customHeight="1">
      <c r="A77" s="143" t="s">
        <v>146</v>
      </c>
      <c r="B77" s="157">
        <v>170302</v>
      </c>
      <c r="C77" s="147"/>
      <c r="D77" s="147"/>
      <c r="E77" s="146">
        <v>1330000</v>
      </c>
      <c r="F77" s="147"/>
      <c r="G77" s="147"/>
      <c r="H77" s="147"/>
      <c r="I77" s="148"/>
      <c r="J77" s="148"/>
      <c r="K77" s="148"/>
      <c r="L77" s="148"/>
      <c r="M77" s="169">
        <f>SUM(E77)</f>
        <v>1330000</v>
      </c>
      <c r="N77" s="169"/>
      <c r="O77" s="169"/>
      <c r="P77" s="169"/>
      <c r="Q77" s="169"/>
      <c r="R77" s="169">
        <f t="shared" si="6"/>
        <v>1330000</v>
      </c>
      <c r="T77" s="174"/>
      <c r="U77" s="175"/>
    </row>
    <row r="78" spans="1:21" ht="104.25" customHeight="1">
      <c r="A78" s="143" t="s">
        <v>147</v>
      </c>
      <c r="B78" s="157">
        <v>170602</v>
      </c>
      <c r="C78" s="147"/>
      <c r="D78" s="147"/>
      <c r="E78" s="146">
        <v>20422720</v>
      </c>
      <c r="F78" s="147"/>
      <c r="G78" s="147"/>
      <c r="H78" s="147"/>
      <c r="I78" s="148"/>
      <c r="J78" s="148"/>
      <c r="K78" s="148"/>
      <c r="L78" s="148"/>
      <c r="M78" s="169">
        <f>SUM(E78)</f>
        <v>20422720</v>
      </c>
      <c r="N78" s="169"/>
      <c r="O78" s="169"/>
      <c r="P78" s="169"/>
      <c r="Q78" s="169"/>
      <c r="R78" s="169">
        <f t="shared" si="6"/>
        <v>20422720</v>
      </c>
      <c r="T78" s="174"/>
      <c r="U78" s="175"/>
    </row>
    <row r="79" spans="1:21" ht="390.75" customHeight="1">
      <c r="A79" s="153" t="s">
        <v>148</v>
      </c>
      <c r="B79" s="145" t="s">
        <v>596</v>
      </c>
      <c r="C79" s="158"/>
      <c r="D79" s="158"/>
      <c r="E79" s="159"/>
      <c r="F79" s="146">
        <f>36936-714-16340-14792.61+14267.93</f>
        <v>19357.32</v>
      </c>
      <c r="G79" s="147"/>
      <c r="H79" s="147"/>
      <c r="I79" s="148"/>
      <c r="J79" s="148"/>
      <c r="K79" s="148"/>
      <c r="L79" s="148"/>
      <c r="M79" s="169">
        <f>SUM(F79)</f>
        <v>19357.32</v>
      </c>
      <c r="N79" s="169"/>
      <c r="O79" s="169"/>
      <c r="P79" s="169"/>
      <c r="Q79" s="169"/>
      <c r="R79" s="169">
        <f>SUM(M79)</f>
        <v>19357.32</v>
      </c>
      <c r="T79" s="174"/>
      <c r="U79" s="175"/>
    </row>
    <row r="80" spans="1:21" ht="409.5" customHeight="1">
      <c r="A80" s="153" t="s">
        <v>312</v>
      </c>
      <c r="B80" s="510" t="s">
        <v>351</v>
      </c>
      <c r="C80" s="511"/>
      <c r="D80" s="511"/>
      <c r="E80" s="511"/>
      <c r="F80" s="526">
        <v>2064.18</v>
      </c>
      <c r="G80" s="511"/>
      <c r="H80" s="511"/>
      <c r="I80" s="513"/>
      <c r="J80" s="149"/>
      <c r="K80" s="149"/>
      <c r="L80" s="149"/>
      <c r="M80" s="169"/>
      <c r="N80" s="169"/>
      <c r="O80" s="169"/>
      <c r="P80" s="169"/>
      <c r="Q80" s="169"/>
      <c r="R80" s="169"/>
      <c r="T80" s="174"/>
      <c r="U80" s="175"/>
    </row>
    <row r="81" spans="1:21" ht="382.5" customHeight="1">
      <c r="A81" s="153" t="s">
        <v>313</v>
      </c>
      <c r="B81" s="510"/>
      <c r="C81" s="511"/>
      <c r="D81" s="511"/>
      <c r="E81" s="511"/>
      <c r="F81" s="526"/>
      <c r="G81" s="511"/>
      <c r="H81" s="511"/>
      <c r="I81" s="514"/>
      <c r="J81" s="151"/>
      <c r="K81" s="151"/>
      <c r="L81" s="151"/>
      <c r="M81" s="169"/>
      <c r="N81" s="169"/>
      <c r="O81" s="169"/>
      <c r="P81" s="169"/>
      <c r="Q81" s="169"/>
      <c r="R81" s="169"/>
      <c r="T81" s="174"/>
      <c r="U81" s="175"/>
    </row>
    <row r="82" spans="1:21" ht="167.25" customHeight="1">
      <c r="A82" s="153" t="s">
        <v>314</v>
      </c>
      <c r="B82" s="510"/>
      <c r="C82" s="511"/>
      <c r="D82" s="511"/>
      <c r="E82" s="511"/>
      <c r="F82" s="526"/>
      <c r="G82" s="511"/>
      <c r="H82" s="511"/>
      <c r="I82" s="515"/>
      <c r="J82" s="154"/>
      <c r="K82" s="154"/>
      <c r="L82" s="154"/>
      <c r="M82" s="169">
        <f>SUM(F80)</f>
        <v>2064.18</v>
      </c>
      <c r="N82" s="169"/>
      <c r="O82" s="169"/>
      <c r="P82" s="169"/>
      <c r="Q82" s="169"/>
      <c r="R82" s="169">
        <f aca="true" t="shared" si="7" ref="R82:R88">SUM(M82)</f>
        <v>2064.18</v>
      </c>
      <c r="T82" s="174"/>
      <c r="U82" s="175"/>
    </row>
    <row r="83" spans="1:21" ht="183" customHeight="1">
      <c r="A83" s="156" t="s">
        <v>352</v>
      </c>
      <c r="B83" s="145" t="s">
        <v>353</v>
      </c>
      <c r="C83" s="147"/>
      <c r="D83" s="147"/>
      <c r="E83" s="147"/>
      <c r="F83" s="146">
        <f>1900-1900</f>
        <v>0</v>
      </c>
      <c r="G83" s="147"/>
      <c r="H83" s="147"/>
      <c r="I83" s="148"/>
      <c r="J83" s="148"/>
      <c r="K83" s="148"/>
      <c r="L83" s="148"/>
      <c r="M83" s="169">
        <f>SUM(F83)</f>
        <v>0</v>
      </c>
      <c r="N83" s="169"/>
      <c r="O83" s="169"/>
      <c r="P83" s="169"/>
      <c r="Q83" s="169"/>
      <c r="R83" s="169">
        <f t="shared" si="7"/>
        <v>0</v>
      </c>
      <c r="T83" s="174"/>
      <c r="U83" s="175"/>
    </row>
    <row r="84" spans="1:21" ht="76.5" customHeight="1">
      <c r="A84" s="156" t="s">
        <v>315</v>
      </c>
      <c r="B84" s="145" t="s">
        <v>354</v>
      </c>
      <c r="C84" s="147"/>
      <c r="D84" s="147"/>
      <c r="E84" s="147"/>
      <c r="F84" s="146">
        <f>6460-6460</f>
        <v>0</v>
      </c>
      <c r="G84" s="147"/>
      <c r="H84" s="147"/>
      <c r="I84" s="148"/>
      <c r="J84" s="148"/>
      <c r="K84" s="148"/>
      <c r="L84" s="148"/>
      <c r="M84" s="169">
        <f>SUM(F84)</f>
        <v>0</v>
      </c>
      <c r="N84" s="169"/>
      <c r="O84" s="169"/>
      <c r="P84" s="169"/>
      <c r="Q84" s="169"/>
      <c r="R84" s="169">
        <f t="shared" si="7"/>
        <v>0</v>
      </c>
      <c r="T84" s="174"/>
      <c r="U84" s="175"/>
    </row>
    <row r="85" spans="1:21" ht="88.5" customHeight="1">
      <c r="A85" s="156" t="s">
        <v>316</v>
      </c>
      <c r="B85" s="145" t="s">
        <v>355</v>
      </c>
      <c r="C85" s="147"/>
      <c r="D85" s="147"/>
      <c r="E85" s="147"/>
      <c r="F85" s="146">
        <f>24278+714+30046.35+20040.61</f>
        <v>75078.95999999999</v>
      </c>
      <c r="G85" s="165"/>
      <c r="H85" s="165"/>
      <c r="I85" s="166"/>
      <c r="J85" s="166"/>
      <c r="K85" s="166"/>
      <c r="L85" s="166"/>
      <c r="M85" s="169">
        <f>SUM(F85)</f>
        <v>75078.95999999999</v>
      </c>
      <c r="N85" s="169"/>
      <c r="O85" s="169"/>
      <c r="P85" s="169"/>
      <c r="Q85" s="169"/>
      <c r="R85" s="169">
        <f t="shared" si="7"/>
        <v>75078.95999999999</v>
      </c>
      <c r="T85" s="174"/>
      <c r="U85" s="175"/>
    </row>
    <row r="86" spans="1:21" ht="167.25" customHeight="1">
      <c r="A86" s="143" t="s">
        <v>317</v>
      </c>
      <c r="B86" s="145" t="s">
        <v>547</v>
      </c>
      <c r="C86" s="147"/>
      <c r="D86" s="147"/>
      <c r="E86" s="147"/>
      <c r="F86" s="146">
        <f>23526+39.65-3486-5248+3667.89</f>
        <v>18499.54</v>
      </c>
      <c r="G86" s="165"/>
      <c r="H86" s="165"/>
      <c r="I86" s="166"/>
      <c r="J86" s="166"/>
      <c r="K86" s="166"/>
      <c r="L86" s="166"/>
      <c r="M86" s="169">
        <f>SUM(F86)</f>
        <v>18499.54</v>
      </c>
      <c r="N86" s="169"/>
      <c r="O86" s="169"/>
      <c r="P86" s="169"/>
      <c r="Q86" s="169"/>
      <c r="R86" s="169">
        <f t="shared" si="7"/>
        <v>18499.54</v>
      </c>
      <c r="T86" s="174"/>
      <c r="U86" s="175"/>
    </row>
    <row r="87" spans="1:21" ht="87" customHeight="1">
      <c r="A87" s="167" t="s">
        <v>318</v>
      </c>
      <c r="B87" s="145" t="s">
        <v>548</v>
      </c>
      <c r="C87" s="147"/>
      <c r="D87" s="147"/>
      <c r="E87" s="147"/>
      <c r="F87" s="168"/>
      <c r="G87" s="165"/>
      <c r="H87" s="165"/>
      <c r="I87" s="166"/>
      <c r="J87" s="181">
        <v>1853260</v>
      </c>
      <c r="K87" s="166"/>
      <c r="L87" s="166"/>
      <c r="M87" s="169">
        <f>SUM(J87)</f>
        <v>1853260</v>
      </c>
      <c r="N87" s="169"/>
      <c r="O87" s="169"/>
      <c r="P87" s="169"/>
      <c r="Q87" s="169"/>
      <c r="R87" s="169">
        <f t="shared" si="7"/>
        <v>1853260</v>
      </c>
      <c r="T87" s="174"/>
      <c r="U87" s="175"/>
    </row>
    <row r="88" spans="1:21" ht="147" customHeight="1">
      <c r="A88" s="167" t="s">
        <v>333</v>
      </c>
      <c r="B88" s="145" t="s">
        <v>549</v>
      </c>
      <c r="C88" s="147"/>
      <c r="D88" s="147"/>
      <c r="E88" s="147"/>
      <c r="F88" s="168"/>
      <c r="G88" s="165"/>
      <c r="H88" s="165"/>
      <c r="I88" s="166"/>
      <c r="J88" s="181">
        <v>136040</v>
      </c>
      <c r="K88" s="166"/>
      <c r="L88" s="166"/>
      <c r="M88" s="169">
        <f>SUM(J88)</f>
        <v>136040</v>
      </c>
      <c r="N88" s="169"/>
      <c r="O88" s="169"/>
      <c r="P88" s="169"/>
      <c r="Q88" s="169"/>
      <c r="R88" s="169">
        <f t="shared" si="7"/>
        <v>136040</v>
      </c>
      <c r="T88" s="174"/>
      <c r="U88" s="175"/>
    </row>
    <row r="89" spans="1:21" ht="120.75" customHeight="1">
      <c r="A89" s="167" t="s">
        <v>386</v>
      </c>
      <c r="B89" s="145" t="s">
        <v>550</v>
      </c>
      <c r="C89" s="147"/>
      <c r="D89" s="147"/>
      <c r="E89" s="147"/>
      <c r="F89" s="168"/>
      <c r="G89" s="165"/>
      <c r="H89" s="165"/>
      <c r="I89" s="166"/>
      <c r="J89" s="166"/>
      <c r="K89" s="166"/>
      <c r="L89" s="166"/>
      <c r="M89" s="169"/>
      <c r="N89" s="169"/>
      <c r="O89" s="169"/>
      <c r="P89" s="169"/>
      <c r="Q89" s="169">
        <v>9521766.4</v>
      </c>
      <c r="R89" s="169">
        <f>SUM(Q89)</f>
        <v>9521766.4</v>
      </c>
      <c r="T89" s="174"/>
      <c r="U89" s="175"/>
    </row>
    <row r="90" spans="1:21" ht="81.75" customHeight="1">
      <c r="A90" s="167" t="s">
        <v>334</v>
      </c>
      <c r="B90" s="145" t="s">
        <v>551</v>
      </c>
      <c r="C90" s="147"/>
      <c r="D90" s="147"/>
      <c r="E90" s="147"/>
      <c r="F90" s="168"/>
      <c r="G90" s="165"/>
      <c r="H90" s="165"/>
      <c r="I90" s="166"/>
      <c r="J90" s="166"/>
      <c r="K90" s="181">
        <v>5714440</v>
      </c>
      <c r="L90" s="181"/>
      <c r="M90" s="169">
        <f>SUM(K90)</f>
        <v>5714440</v>
      </c>
      <c r="N90" s="169"/>
      <c r="O90" s="169"/>
      <c r="P90" s="169"/>
      <c r="Q90" s="169"/>
      <c r="R90" s="169">
        <f>SUM(M90)</f>
        <v>5714440</v>
      </c>
      <c r="T90" s="174"/>
      <c r="U90" s="175"/>
    </row>
    <row r="91" spans="1:21" ht="78" customHeight="1">
      <c r="A91" s="167" t="s">
        <v>543</v>
      </c>
      <c r="B91" s="145" t="s">
        <v>552</v>
      </c>
      <c r="C91" s="147"/>
      <c r="D91" s="147"/>
      <c r="E91" s="147"/>
      <c r="F91" s="168"/>
      <c r="G91" s="165"/>
      <c r="H91" s="165"/>
      <c r="I91" s="166"/>
      <c r="J91" s="166"/>
      <c r="K91" s="166"/>
      <c r="L91" s="166"/>
      <c r="M91" s="169"/>
      <c r="N91" s="169"/>
      <c r="O91" s="169"/>
      <c r="P91" s="169"/>
      <c r="Q91" s="169">
        <v>937353.6</v>
      </c>
      <c r="R91" s="169">
        <f>SUM(Q91)</f>
        <v>937353.6</v>
      </c>
      <c r="T91" s="174"/>
      <c r="U91" s="175"/>
    </row>
    <row r="92" spans="1:18" ht="109.5" customHeight="1">
      <c r="A92" s="156" t="s">
        <v>340</v>
      </c>
      <c r="B92" s="145" t="s">
        <v>341</v>
      </c>
      <c r="C92" s="147"/>
      <c r="D92" s="147"/>
      <c r="E92" s="147"/>
      <c r="F92" s="147"/>
      <c r="G92" s="147"/>
      <c r="H92" s="182">
        <v>109820</v>
      </c>
      <c r="I92" s="148"/>
      <c r="J92" s="148"/>
      <c r="K92" s="148"/>
      <c r="L92" s="148"/>
      <c r="M92" s="182">
        <f>SUM(H92)</f>
        <v>109820</v>
      </c>
      <c r="N92" s="182"/>
      <c r="O92" s="182"/>
      <c r="P92" s="182"/>
      <c r="Q92" s="182"/>
      <c r="R92" s="142">
        <f aca="true" t="shared" si="8" ref="R92:R100">M92</f>
        <v>109820</v>
      </c>
    </row>
    <row r="93" spans="1:18" ht="44.25" customHeight="1">
      <c r="A93" s="156" t="s">
        <v>342</v>
      </c>
      <c r="B93" s="145" t="s">
        <v>343</v>
      </c>
      <c r="C93" s="147"/>
      <c r="D93" s="147"/>
      <c r="E93" s="147"/>
      <c r="F93" s="147"/>
      <c r="G93" s="147"/>
      <c r="H93" s="182">
        <f>SUM(H94:H96)</f>
        <v>0</v>
      </c>
      <c r="I93" s="181">
        <f>SUM(I94:I96)</f>
        <v>1746670</v>
      </c>
      <c r="J93" s="148"/>
      <c r="K93" s="148"/>
      <c r="L93" s="148"/>
      <c r="M93" s="182">
        <f>SUM(H93:I93)</f>
        <v>1746670</v>
      </c>
      <c r="N93" s="182"/>
      <c r="O93" s="182"/>
      <c r="P93" s="182"/>
      <c r="Q93" s="182"/>
      <c r="R93" s="142">
        <f t="shared" si="8"/>
        <v>1746670</v>
      </c>
    </row>
    <row r="94" spans="1:18" s="188" customFormat="1" ht="168.75" customHeight="1">
      <c r="A94" s="183" t="s">
        <v>344</v>
      </c>
      <c r="B94" s="184" t="s">
        <v>343</v>
      </c>
      <c r="C94" s="185"/>
      <c r="D94" s="185"/>
      <c r="E94" s="185"/>
      <c r="F94" s="185"/>
      <c r="G94" s="185"/>
      <c r="H94" s="186"/>
      <c r="I94" s="186">
        <v>1543940</v>
      </c>
      <c r="J94" s="185"/>
      <c r="K94" s="185"/>
      <c r="L94" s="185"/>
      <c r="M94" s="186">
        <f>SUM(I94)</f>
        <v>1543940</v>
      </c>
      <c r="N94" s="186"/>
      <c r="O94" s="186"/>
      <c r="P94" s="186"/>
      <c r="Q94" s="186"/>
      <c r="R94" s="187">
        <f t="shared" si="8"/>
        <v>1543940</v>
      </c>
    </row>
    <row r="95" spans="1:18" s="188" customFormat="1" ht="180.75" customHeight="1">
      <c r="A95" s="183" t="s">
        <v>656</v>
      </c>
      <c r="B95" s="184" t="s">
        <v>343</v>
      </c>
      <c r="C95" s="185"/>
      <c r="D95" s="185"/>
      <c r="E95" s="185"/>
      <c r="F95" s="185"/>
      <c r="G95" s="185"/>
      <c r="H95" s="186"/>
      <c r="I95" s="186">
        <v>193800</v>
      </c>
      <c r="J95" s="185"/>
      <c r="K95" s="185"/>
      <c r="L95" s="185"/>
      <c r="M95" s="186">
        <f aca="true" t="shared" si="9" ref="M95:M100">SUM(I95)</f>
        <v>193800</v>
      </c>
      <c r="N95" s="186"/>
      <c r="O95" s="186"/>
      <c r="P95" s="186"/>
      <c r="Q95" s="186"/>
      <c r="R95" s="187">
        <f t="shared" si="8"/>
        <v>193800</v>
      </c>
    </row>
    <row r="96" spans="1:18" s="188" customFormat="1" ht="112.5" customHeight="1">
      <c r="A96" s="183" t="s">
        <v>657</v>
      </c>
      <c r="B96" s="184" t="s">
        <v>343</v>
      </c>
      <c r="C96" s="185"/>
      <c r="D96" s="185"/>
      <c r="E96" s="185"/>
      <c r="F96" s="185"/>
      <c r="G96" s="185"/>
      <c r="H96" s="186"/>
      <c r="I96" s="186">
        <v>8930</v>
      </c>
      <c r="J96" s="185"/>
      <c r="K96" s="185"/>
      <c r="L96" s="185"/>
      <c r="M96" s="186">
        <f t="shared" si="9"/>
        <v>8930</v>
      </c>
      <c r="N96" s="186"/>
      <c r="O96" s="186"/>
      <c r="P96" s="186"/>
      <c r="Q96" s="186"/>
      <c r="R96" s="187">
        <f t="shared" si="8"/>
        <v>8930</v>
      </c>
    </row>
    <row r="97" spans="1:18" ht="74.25" customHeight="1">
      <c r="A97" s="156" t="s">
        <v>15</v>
      </c>
      <c r="B97" s="145" t="s">
        <v>658</v>
      </c>
      <c r="C97" s="147"/>
      <c r="D97" s="147"/>
      <c r="E97" s="147"/>
      <c r="F97" s="147"/>
      <c r="G97" s="147"/>
      <c r="H97" s="182">
        <v>5522540</v>
      </c>
      <c r="I97" s="181"/>
      <c r="J97" s="148"/>
      <c r="K97" s="148"/>
      <c r="L97" s="148"/>
      <c r="M97" s="181">
        <f>SUM(H97)</f>
        <v>5522540</v>
      </c>
      <c r="N97" s="181"/>
      <c r="O97" s="181"/>
      <c r="P97" s="181"/>
      <c r="Q97" s="181"/>
      <c r="R97" s="142">
        <f t="shared" si="8"/>
        <v>5522540</v>
      </c>
    </row>
    <row r="98" spans="1:18" ht="90" customHeight="1">
      <c r="A98" s="156" t="s">
        <v>659</v>
      </c>
      <c r="B98" s="145" t="s">
        <v>660</v>
      </c>
      <c r="C98" s="147"/>
      <c r="D98" s="147"/>
      <c r="E98" s="147"/>
      <c r="F98" s="147"/>
      <c r="G98" s="147"/>
      <c r="H98" s="182">
        <v>810920</v>
      </c>
      <c r="I98" s="181"/>
      <c r="J98" s="148"/>
      <c r="K98" s="148"/>
      <c r="L98" s="148"/>
      <c r="M98" s="181">
        <f>SUM(H98)</f>
        <v>810920</v>
      </c>
      <c r="N98" s="181"/>
      <c r="O98" s="181"/>
      <c r="P98" s="181"/>
      <c r="Q98" s="181"/>
      <c r="R98" s="142">
        <f t="shared" si="8"/>
        <v>810920</v>
      </c>
    </row>
    <row r="99" spans="1:18" ht="190.5" customHeight="1">
      <c r="A99" s="156" t="s">
        <v>661</v>
      </c>
      <c r="B99" s="145" t="s">
        <v>662</v>
      </c>
      <c r="C99" s="147"/>
      <c r="D99" s="147"/>
      <c r="E99" s="147"/>
      <c r="F99" s="147"/>
      <c r="G99" s="147"/>
      <c r="H99" s="147"/>
      <c r="I99" s="181">
        <f>SUM(I100:I101)</f>
        <v>2639290</v>
      </c>
      <c r="J99" s="148"/>
      <c r="K99" s="148"/>
      <c r="L99" s="148"/>
      <c r="M99" s="181">
        <f t="shared" si="9"/>
        <v>2639290</v>
      </c>
      <c r="N99" s="181"/>
      <c r="O99" s="181"/>
      <c r="P99" s="181"/>
      <c r="Q99" s="181"/>
      <c r="R99" s="142">
        <f t="shared" si="8"/>
        <v>2639290</v>
      </c>
    </row>
    <row r="100" spans="1:18" s="192" customFormat="1" ht="69" customHeight="1">
      <c r="A100" s="183" t="s">
        <v>663</v>
      </c>
      <c r="B100" s="189" t="s">
        <v>662</v>
      </c>
      <c r="C100" s="190"/>
      <c r="D100" s="190"/>
      <c r="E100" s="190"/>
      <c r="F100" s="190"/>
      <c r="G100" s="190"/>
      <c r="H100" s="190"/>
      <c r="I100" s="191">
        <v>2598630</v>
      </c>
      <c r="J100" s="190"/>
      <c r="K100" s="190"/>
      <c r="L100" s="190"/>
      <c r="M100" s="186">
        <f t="shared" si="9"/>
        <v>2598630</v>
      </c>
      <c r="N100" s="186"/>
      <c r="O100" s="186"/>
      <c r="P100" s="186"/>
      <c r="Q100" s="186"/>
      <c r="R100" s="187">
        <f t="shared" si="8"/>
        <v>2598630</v>
      </c>
    </row>
    <row r="101" spans="1:18" s="192" customFormat="1" ht="137.25" customHeight="1">
      <c r="A101" s="183" t="s">
        <v>664</v>
      </c>
      <c r="B101" s="189" t="s">
        <v>16</v>
      </c>
      <c r="C101" s="190"/>
      <c r="D101" s="190"/>
      <c r="E101" s="190"/>
      <c r="F101" s="190"/>
      <c r="G101" s="190"/>
      <c r="H101" s="190"/>
      <c r="I101" s="191">
        <v>40660</v>
      </c>
      <c r="J101" s="190"/>
      <c r="K101" s="190"/>
      <c r="L101" s="190"/>
      <c r="M101" s="186">
        <f>SUM(I101)</f>
        <v>40660</v>
      </c>
      <c r="N101" s="186"/>
      <c r="O101" s="186"/>
      <c r="P101" s="186"/>
      <c r="Q101" s="186"/>
      <c r="R101" s="187"/>
    </row>
    <row r="102" spans="1:18" ht="69.75" customHeight="1">
      <c r="A102" s="156" t="s">
        <v>665</v>
      </c>
      <c r="B102" s="176" t="s">
        <v>666</v>
      </c>
      <c r="C102" s="147"/>
      <c r="D102" s="147"/>
      <c r="E102" s="147"/>
      <c r="F102" s="147"/>
      <c r="G102" s="147"/>
      <c r="H102" s="182">
        <v>239172</v>
      </c>
      <c r="I102" s="148"/>
      <c r="J102" s="148"/>
      <c r="K102" s="148"/>
      <c r="L102" s="148"/>
      <c r="M102" s="181">
        <f>SUM(H102)</f>
        <v>239172</v>
      </c>
      <c r="N102" s="181"/>
      <c r="O102" s="181"/>
      <c r="P102" s="181"/>
      <c r="Q102" s="181"/>
      <c r="R102" s="142">
        <f>M102</f>
        <v>239172</v>
      </c>
    </row>
    <row r="103" spans="1:20" ht="39" customHeight="1">
      <c r="A103" s="156" t="s">
        <v>85</v>
      </c>
      <c r="B103" s="176" t="s">
        <v>86</v>
      </c>
      <c r="C103" s="147"/>
      <c r="D103" s="147"/>
      <c r="E103" s="147"/>
      <c r="F103" s="147"/>
      <c r="G103" s="147"/>
      <c r="H103" s="182">
        <v>4788</v>
      </c>
      <c r="I103" s="148"/>
      <c r="J103" s="148"/>
      <c r="K103" s="148"/>
      <c r="L103" s="148"/>
      <c r="M103" s="181">
        <f>SUM(H103)</f>
        <v>4788</v>
      </c>
      <c r="N103" s="181"/>
      <c r="O103" s="181"/>
      <c r="P103" s="181"/>
      <c r="Q103" s="181"/>
      <c r="R103" s="142">
        <f>M103</f>
        <v>4788</v>
      </c>
      <c r="T103" s="193"/>
    </row>
    <row r="104" spans="1:20" s="188" customFormat="1" ht="39" customHeight="1">
      <c r="A104" s="156" t="s">
        <v>87</v>
      </c>
      <c r="B104" s="176">
        <v>250353</v>
      </c>
      <c r="C104" s="148"/>
      <c r="D104" s="148"/>
      <c r="E104" s="148"/>
      <c r="F104" s="148"/>
      <c r="G104" s="148"/>
      <c r="H104" s="148"/>
      <c r="I104" s="148"/>
      <c r="J104" s="148"/>
      <c r="K104" s="148"/>
      <c r="L104" s="148"/>
      <c r="M104" s="181">
        <f>SUM(I104)</f>
        <v>0</v>
      </c>
      <c r="N104" s="181"/>
      <c r="O104" s="181"/>
      <c r="P104" s="181"/>
      <c r="Q104" s="181"/>
      <c r="R104" s="194">
        <f aca="true" t="shared" si="10" ref="R104:R112">SUM(M104)</f>
        <v>0</v>
      </c>
      <c r="T104" s="195"/>
    </row>
    <row r="105" spans="1:20" ht="87" customHeight="1">
      <c r="A105" s="196" t="s">
        <v>88</v>
      </c>
      <c r="B105" s="176">
        <v>91101</v>
      </c>
      <c r="C105" s="147"/>
      <c r="D105" s="147"/>
      <c r="E105" s="147"/>
      <c r="F105" s="147"/>
      <c r="G105" s="147"/>
      <c r="H105" s="147"/>
      <c r="I105" s="148"/>
      <c r="J105" s="148"/>
      <c r="K105" s="148"/>
      <c r="L105" s="148"/>
      <c r="M105" s="181">
        <f>SUM(H105)</f>
        <v>0</v>
      </c>
      <c r="N105" s="181"/>
      <c r="O105" s="181"/>
      <c r="P105" s="181"/>
      <c r="Q105" s="181"/>
      <c r="R105" s="142">
        <f t="shared" si="10"/>
        <v>0</v>
      </c>
      <c r="T105" s="197"/>
    </row>
    <row r="106" spans="1:20" ht="87" customHeight="1">
      <c r="A106" s="196" t="s">
        <v>89</v>
      </c>
      <c r="B106" s="176">
        <v>80800</v>
      </c>
      <c r="C106" s="147"/>
      <c r="D106" s="147"/>
      <c r="E106" s="147"/>
      <c r="F106" s="147"/>
      <c r="G106" s="147"/>
      <c r="H106" s="147"/>
      <c r="I106" s="148">
        <v>3669800</v>
      </c>
      <c r="J106" s="148"/>
      <c r="K106" s="148"/>
      <c r="L106" s="148"/>
      <c r="M106" s="181">
        <f aca="true" t="shared" si="11" ref="M106:M112">SUM(I106)</f>
        <v>3669800</v>
      </c>
      <c r="N106" s="181"/>
      <c r="O106" s="181"/>
      <c r="P106" s="181"/>
      <c r="Q106" s="181"/>
      <c r="R106" s="142">
        <f t="shared" si="10"/>
        <v>3669800</v>
      </c>
      <c r="T106" s="197"/>
    </row>
    <row r="107" spans="1:20" ht="87" customHeight="1">
      <c r="A107" s="196" t="s">
        <v>89</v>
      </c>
      <c r="B107" s="176">
        <v>80102</v>
      </c>
      <c r="C107" s="147"/>
      <c r="D107" s="147"/>
      <c r="E107" s="147"/>
      <c r="F107" s="147"/>
      <c r="G107" s="147"/>
      <c r="H107" s="147"/>
      <c r="I107" s="148">
        <v>14276100</v>
      </c>
      <c r="J107" s="148"/>
      <c r="K107" s="148"/>
      <c r="L107" s="148"/>
      <c r="M107" s="181">
        <f t="shared" si="11"/>
        <v>14276100</v>
      </c>
      <c r="N107" s="181"/>
      <c r="O107" s="181"/>
      <c r="P107" s="181"/>
      <c r="Q107" s="181"/>
      <c r="R107" s="142">
        <f t="shared" si="10"/>
        <v>14276100</v>
      </c>
      <c r="T107" s="197"/>
    </row>
    <row r="108" spans="1:20" ht="87" customHeight="1">
      <c r="A108" s="196" t="s">
        <v>89</v>
      </c>
      <c r="B108" s="176">
        <v>80203</v>
      </c>
      <c r="C108" s="147"/>
      <c r="D108" s="147"/>
      <c r="E108" s="147"/>
      <c r="F108" s="147"/>
      <c r="G108" s="147"/>
      <c r="H108" s="147"/>
      <c r="I108" s="148">
        <v>10406300</v>
      </c>
      <c r="J108" s="148"/>
      <c r="K108" s="148"/>
      <c r="L108" s="148"/>
      <c r="M108" s="181">
        <f t="shared" si="11"/>
        <v>10406300</v>
      </c>
      <c r="N108" s="181"/>
      <c r="O108" s="181"/>
      <c r="P108" s="181"/>
      <c r="Q108" s="181"/>
      <c r="R108" s="142">
        <f t="shared" si="10"/>
        <v>10406300</v>
      </c>
      <c r="T108" s="197"/>
    </row>
    <row r="109" spans="1:20" ht="87" customHeight="1">
      <c r="A109" s="196" t="s">
        <v>89</v>
      </c>
      <c r="B109" s="176">
        <v>80101</v>
      </c>
      <c r="C109" s="147"/>
      <c r="D109" s="147"/>
      <c r="E109" s="147"/>
      <c r="F109" s="147"/>
      <c r="G109" s="147"/>
      <c r="H109" s="147"/>
      <c r="I109" s="148">
        <f>51337400-375700</f>
        <v>50961700</v>
      </c>
      <c r="J109" s="148"/>
      <c r="K109" s="148"/>
      <c r="L109" s="148"/>
      <c r="M109" s="181">
        <f t="shared" si="11"/>
        <v>50961700</v>
      </c>
      <c r="N109" s="181"/>
      <c r="O109" s="181"/>
      <c r="P109" s="181"/>
      <c r="Q109" s="181"/>
      <c r="R109" s="142">
        <f t="shared" si="10"/>
        <v>50961700</v>
      </c>
      <c r="T109" s="197"/>
    </row>
    <row r="110" spans="1:20" ht="87" customHeight="1">
      <c r="A110" s="196" t="s">
        <v>89</v>
      </c>
      <c r="B110" s="176">
        <v>81003</v>
      </c>
      <c r="C110" s="147"/>
      <c r="D110" s="147"/>
      <c r="E110" s="147"/>
      <c r="F110" s="147"/>
      <c r="G110" s="147"/>
      <c r="H110" s="147"/>
      <c r="I110" s="148">
        <v>3796000</v>
      </c>
      <c r="J110" s="148"/>
      <c r="K110" s="148"/>
      <c r="L110" s="148"/>
      <c r="M110" s="181">
        <f t="shared" si="11"/>
        <v>3796000</v>
      </c>
      <c r="N110" s="181"/>
      <c r="O110" s="181"/>
      <c r="P110" s="181"/>
      <c r="Q110" s="181"/>
      <c r="R110" s="142">
        <f t="shared" si="10"/>
        <v>3796000</v>
      </c>
      <c r="T110" s="197"/>
    </row>
    <row r="111" spans="1:20" ht="105.75" customHeight="1">
      <c r="A111" s="196" t="s">
        <v>90</v>
      </c>
      <c r="B111" s="176">
        <v>250353</v>
      </c>
      <c r="C111" s="147"/>
      <c r="D111" s="147"/>
      <c r="E111" s="147"/>
      <c r="F111" s="147"/>
      <c r="G111" s="147"/>
      <c r="H111" s="147"/>
      <c r="I111" s="148">
        <v>375700</v>
      </c>
      <c r="J111" s="148"/>
      <c r="K111" s="148"/>
      <c r="L111" s="148"/>
      <c r="M111" s="181">
        <f t="shared" si="11"/>
        <v>375700</v>
      </c>
      <c r="N111" s="181"/>
      <c r="O111" s="181"/>
      <c r="P111" s="181"/>
      <c r="Q111" s="181"/>
      <c r="R111" s="142">
        <f t="shared" si="10"/>
        <v>375700</v>
      </c>
      <c r="T111" s="197"/>
    </row>
    <row r="112" spans="1:20" ht="123" customHeight="1">
      <c r="A112" s="196" t="s">
        <v>91</v>
      </c>
      <c r="B112" s="176">
        <v>180410</v>
      </c>
      <c r="C112" s="147"/>
      <c r="D112" s="147"/>
      <c r="E112" s="147"/>
      <c r="F112" s="147"/>
      <c r="G112" s="147"/>
      <c r="H112" s="147"/>
      <c r="I112" s="148">
        <v>61400</v>
      </c>
      <c r="J112" s="148"/>
      <c r="K112" s="148"/>
      <c r="L112" s="148"/>
      <c r="M112" s="181">
        <f t="shared" si="11"/>
        <v>61400</v>
      </c>
      <c r="N112" s="181"/>
      <c r="O112" s="181"/>
      <c r="P112" s="181"/>
      <c r="Q112" s="181"/>
      <c r="R112" s="142">
        <f t="shared" si="10"/>
        <v>61400</v>
      </c>
      <c r="T112" s="197"/>
    </row>
    <row r="113" spans="1:20" ht="130.5" customHeight="1">
      <c r="A113" s="196" t="s">
        <v>91</v>
      </c>
      <c r="B113" s="176">
        <v>150101</v>
      </c>
      <c r="C113" s="147"/>
      <c r="D113" s="147"/>
      <c r="E113" s="147"/>
      <c r="F113" s="147"/>
      <c r="G113" s="147"/>
      <c r="H113" s="147"/>
      <c r="I113" s="148"/>
      <c r="J113" s="148"/>
      <c r="K113" s="148"/>
      <c r="L113" s="148"/>
      <c r="M113" s="181"/>
      <c r="N113" s="181">
        <v>543700</v>
      </c>
      <c r="O113" s="181"/>
      <c r="P113" s="181"/>
      <c r="Q113" s="181"/>
      <c r="R113" s="142">
        <f>SUM(N113)</f>
        <v>543700</v>
      </c>
      <c r="T113" s="197"/>
    </row>
    <row r="114" spans="1:20" ht="237" customHeight="1">
      <c r="A114" s="156" t="s">
        <v>672</v>
      </c>
      <c r="B114" s="176">
        <v>250372</v>
      </c>
      <c r="C114" s="147"/>
      <c r="D114" s="147"/>
      <c r="E114" s="147"/>
      <c r="F114" s="147"/>
      <c r="G114" s="147"/>
      <c r="H114" s="147"/>
      <c r="I114" s="148"/>
      <c r="J114" s="148"/>
      <c r="K114" s="148"/>
      <c r="L114" s="148"/>
      <c r="M114" s="181"/>
      <c r="N114" s="181"/>
      <c r="O114" s="181">
        <f>48180000+3000000</f>
        <v>51180000</v>
      </c>
      <c r="P114" s="181"/>
      <c r="Q114" s="181"/>
      <c r="R114" s="142">
        <f>SUM(O114)</f>
        <v>51180000</v>
      </c>
      <c r="T114" s="197"/>
    </row>
    <row r="115" spans="1:20" ht="275.25" customHeight="1">
      <c r="A115" s="223" t="s">
        <v>647</v>
      </c>
      <c r="B115" s="176">
        <v>250359</v>
      </c>
      <c r="C115" s="147"/>
      <c r="D115" s="147"/>
      <c r="E115" s="147"/>
      <c r="F115" s="147"/>
      <c r="G115" s="147"/>
      <c r="H115" s="147"/>
      <c r="I115" s="148"/>
      <c r="J115" s="148"/>
      <c r="K115" s="148"/>
      <c r="L115" s="148"/>
      <c r="M115" s="181"/>
      <c r="N115" s="181"/>
      <c r="O115" s="181">
        <v>8000000</v>
      </c>
      <c r="P115" s="181"/>
      <c r="Q115" s="181"/>
      <c r="R115" s="142"/>
      <c r="T115" s="197"/>
    </row>
    <row r="116" spans="1:20" ht="130.5" customHeight="1">
      <c r="A116" s="167" t="s">
        <v>734</v>
      </c>
      <c r="B116" s="176">
        <v>250203</v>
      </c>
      <c r="C116" s="147"/>
      <c r="D116" s="147"/>
      <c r="E116" s="147"/>
      <c r="F116" s="147"/>
      <c r="G116" s="147"/>
      <c r="H116" s="147"/>
      <c r="I116" s="148"/>
      <c r="J116" s="148"/>
      <c r="K116" s="148"/>
      <c r="L116" s="148">
        <v>2364700</v>
      </c>
      <c r="M116" s="181">
        <f>SUM(L116)</f>
        <v>2364700</v>
      </c>
      <c r="N116" s="181"/>
      <c r="O116" s="181"/>
      <c r="P116" s="181"/>
      <c r="Q116" s="181"/>
      <c r="R116" s="142">
        <f>SUM(M116)</f>
        <v>2364700</v>
      </c>
      <c r="T116" s="197"/>
    </row>
    <row r="117" spans="1:20" ht="166.5" customHeight="1">
      <c r="A117" s="167" t="s">
        <v>92</v>
      </c>
      <c r="B117" s="176">
        <v>180410</v>
      </c>
      <c r="C117" s="147"/>
      <c r="D117" s="147"/>
      <c r="E117" s="147"/>
      <c r="F117" s="147"/>
      <c r="G117" s="147"/>
      <c r="H117" s="147"/>
      <c r="I117" s="148">
        <v>106518.4</v>
      </c>
      <c r="J117" s="148"/>
      <c r="K117" s="148"/>
      <c r="L117" s="148"/>
      <c r="M117" s="181">
        <f>SUM(I117)</f>
        <v>106518.4</v>
      </c>
      <c r="N117" s="181"/>
      <c r="O117" s="181"/>
      <c r="P117" s="181"/>
      <c r="Q117" s="181"/>
      <c r="R117" s="142">
        <f>SUM(M117)</f>
        <v>106518.4</v>
      </c>
      <c r="T117" s="197"/>
    </row>
    <row r="118" spans="1:20" ht="151.5" customHeight="1">
      <c r="A118" s="167" t="s">
        <v>92</v>
      </c>
      <c r="B118" s="176">
        <v>250353</v>
      </c>
      <c r="C118" s="147"/>
      <c r="D118" s="147"/>
      <c r="E118" s="147"/>
      <c r="F118" s="147"/>
      <c r="G118" s="147"/>
      <c r="H118" s="147"/>
      <c r="I118" s="148">
        <v>35481.6</v>
      </c>
      <c r="J118" s="148"/>
      <c r="K118" s="148"/>
      <c r="L118" s="148"/>
      <c r="M118" s="181">
        <f>SUM(I118)</f>
        <v>35481.6</v>
      </c>
      <c r="N118" s="181"/>
      <c r="O118" s="181"/>
      <c r="P118" s="181"/>
      <c r="Q118" s="181"/>
      <c r="R118" s="142">
        <f>SUM(M118)</f>
        <v>35481.6</v>
      </c>
      <c r="T118" s="197"/>
    </row>
    <row r="119" spans="1:20" ht="139.5" customHeight="1">
      <c r="A119" s="167" t="s">
        <v>93</v>
      </c>
      <c r="B119" s="176">
        <v>250404</v>
      </c>
      <c r="C119" s="147"/>
      <c r="D119" s="147"/>
      <c r="E119" s="147"/>
      <c r="F119" s="147"/>
      <c r="G119" s="147"/>
      <c r="H119" s="147"/>
      <c r="I119" s="148">
        <v>535000</v>
      </c>
      <c r="J119" s="148"/>
      <c r="K119" s="148"/>
      <c r="L119" s="148"/>
      <c r="M119" s="181">
        <f>SUM(I119)</f>
        <v>535000</v>
      </c>
      <c r="N119" s="181"/>
      <c r="O119" s="181"/>
      <c r="P119" s="181"/>
      <c r="Q119" s="181"/>
      <c r="R119" s="142">
        <f>SUM(M119)</f>
        <v>535000</v>
      </c>
      <c r="T119" s="197"/>
    </row>
    <row r="120" spans="1:20" ht="139.5" customHeight="1">
      <c r="A120" s="167" t="s">
        <v>94</v>
      </c>
      <c r="B120" s="176">
        <v>150101</v>
      </c>
      <c r="C120" s="147"/>
      <c r="D120" s="147"/>
      <c r="E120" s="147"/>
      <c r="F120" s="147"/>
      <c r="G120" s="147"/>
      <c r="H120" s="147"/>
      <c r="I120" s="148"/>
      <c r="J120" s="148"/>
      <c r="K120" s="148"/>
      <c r="L120" s="148"/>
      <c r="M120" s="181"/>
      <c r="N120" s="181">
        <v>20893800</v>
      </c>
      <c r="O120" s="181"/>
      <c r="P120" s="181"/>
      <c r="Q120" s="181"/>
      <c r="R120" s="142">
        <f>SUM(N120)</f>
        <v>20893800</v>
      </c>
      <c r="T120" s="197"/>
    </row>
    <row r="121" spans="1:20" ht="209.25" customHeight="1">
      <c r="A121" s="198" t="s">
        <v>95</v>
      </c>
      <c r="B121" s="176">
        <v>250323</v>
      </c>
      <c r="C121" s="147"/>
      <c r="D121" s="147"/>
      <c r="E121" s="147"/>
      <c r="F121" s="147"/>
      <c r="G121" s="147"/>
      <c r="H121" s="147"/>
      <c r="I121" s="148"/>
      <c r="J121" s="148"/>
      <c r="K121" s="148"/>
      <c r="L121" s="148"/>
      <c r="M121" s="181"/>
      <c r="N121" s="181"/>
      <c r="O121" s="181"/>
      <c r="P121" s="181">
        <v>25262900</v>
      </c>
      <c r="Q121" s="181"/>
      <c r="R121" s="142">
        <f>SUM(P121)</f>
        <v>25262900</v>
      </c>
      <c r="T121" s="197"/>
    </row>
    <row r="122" spans="1:19" ht="49.5" customHeight="1">
      <c r="A122" s="199"/>
      <c r="B122" s="171"/>
      <c r="C122" s="200">
        <f>SUM(C55:C63)</f>
        <v>350707320</v>
      </c>
      <c r="D122" s="201">
        <f>SUM(D62:D71)</f>
        <v>53949740</v>
      </c>
      <c r="E122" s="201">
        <f>SUM(E71:E78)</f>
        <v>27753680</v>
      </c>
      <c r="F122" s="201">
        <f>SUM(F78:F86)</f>
        <v>115000</v>
      </c>
      <c r="G122" s="201">
        <f>SUM(G54)</f>
        <v>6447840</v>
      </c>
      <c r="H122" s="201">
        <f>SUM(H92+H97+H98+H102+H103+H105)</f>
        <v>6687240</v>
      </c>
      <c r="I122" s="201">
        <f>SUM(I93+I99+I106+I107+I108+I109+I110+I111+I112+I117+I118+I119)</f>
        <v>88609960</v>
      </c>
      <c r="J122" s="201">
        <f>SUM(J87:J88)</f>
        <v>1989300</v>
      </c>
      <c r="K122" s="201">
        <f>SUM(K90)</f>
        <v>5714440</v>
      </c>
      <c r="L122" s="201">
        <f>SUM(L116)</f>
        <v>2364700</v>
      </c>
      <c r="M122" s="201">
        <f>SUM(M54+M55+M56+M57+M58+M59+M60+M61+M62+M63+M64+M67+M68+M69+M70+M71+M73+M74+M75+M76+M77+M78+M79+M82+M83+M84+M85+M86+M87+M88+M90+M92+M93+M97+M98+M99+M102+M103+M104+M105+M106+M107+M108+M109+M110+M111+M112+M116+M117+M118+M119)</f>
        <v>544339220</v>
      </c>
      <c r="N122" s="201">
        <f>SUM(N113+N120)</f>
        <v>21437500</v>
      </c>
      <c r="O122" s="201">
        <f>SUM(O114+O115)</f>
        <v>59180000</v>
      </c>
      <c r="P122" s="201">
        <f>SUM(P121)</f>
        <v>25262900</v>
      </c>
      <c r="Q122" s="201">
        <f>SUM(Q89+Q91)</f>
        <v>10459120</v>
      </c>
      <c r="R122" s="201">
        <f>SUM(M122+O122+Q122+N122+P122)</f>
        <v>660678740</v>
      </c>
      <c r="S122" s="202">
        <f>SUM(S92+S93+S97+S98+S99+S102+S103)</f>
        <v>0</v>
      </c>
    </row>
    <row r="123" ht="37.5" customHeight="1">
      <c r="C123" s="204"/>
    </row>
    <row r="124" spans="4:12" ht="46.5" customHeight="1">
      <c r="D124" s="204"/>
      <c r="E124" s="204"/>
      <c r="F124" s="204"/>
      <c r="G124" s="205"/>
      <c r="H124" s="204"/>
      <c r="I124" s="206"/>
      <c r="J124" s="207"/>
      <c r="K124" s="206"/>
      <c r="L124" s="206"/>
    </row>
    <row r="125" ht="49.5" customHeight="1"/>
  </sheetData>
  <mergeCells count="79">
    <mergeCell ref="E72:E73"/>
    <mergeCell ref="F80:F82"/>
    <mergeCell ref="G80:G82"/>
    <mergeCell ref="H80:H82"/>
    <mergeCell ref="I80:I82"/>
    <mergeCell ref="B80:B82"/>
    <mergeCell ref="C80:C82"/>
    <mergeCell ref="D80:D82"/>
    <mergeCell ref="E80:E82"/>
    <mergeCell ref="A72:A73"/>
    <mergeCell ref="B72:B73"/>
    <mergeCell ref="C72:C73"/>
    <mergeCell ref="D72:D73"/>
    <mergeCell ref="I65:I67"/>
    <mergeCell ref="F72:F73"/>
    <mergeCell ref="G72:G73"/>
    <mergeCell ref="H72:H73"/>
    <mergeCell ref="I72:I73"/>
    <mergeCell ref="I39:I41"/>
    <mergeCell ref="M39:M41"/>
    <mergeCell ref="R39:R41"/>
    <mergeCell ref="B65:B67"/>
    <mergeCell ref="C65:C67"/>
    <mergeCell ref="D65:D67"/>
    <mergeCell ref="E65:E67"/>
    <mergeCell ref="F65:F67"/>
    <mergeCell ref="G65:G67"/>
    <mergeCell ref="H65:H67"/>
    <mergeCell ref="I31:I32"/>
    <mergeCell ref="M31:M32"/>
    <mergeCell ref="R31:R32"/>
    <mergeCell ref="B39:B41"/>
    <mergeCell ref="C39:C41"/>
    <mergeCell ref="D39:D41"/>
    <mergeCell ref="E39:E41"/>
    <mergeCell ref="F39:F41"/>
    <mergeCell ref="G39:G41"/>
    <mergeCell ref="H39:H41"/>
    <mergeCell ref="M24:M26"/>
    <mergeCell ref="R24:R26"/>
    <mergeCell ref="A31:A32"/>
    <mergeCell ref="B31:B32"/>
    <mergeCell ref="C31:C32"/>
    <mergeCell ref="D31:D32"/>
    <mergeCell ref="E31:E32"/>
    <mergeCell ref="F31:F32"/>
    <mergeCell ref="G31:G32"/>
    <mergeCell ref="H31:H32"/>
    <mergeCell ref="F24:F26"/>
    <mergeCell ref="G24:G26"/>
    <mergeCell ref="H24:H26"/>
    <mergeCell ref="I24:I26"/>
    <mergeCell ref="B24:B26"/>
    <mergeCell ref="C24:C26"/>
    <mergeCell ref="D24:D26"/>
    <mergeCell ref="E24:E26"/>
    <mergeCell ref="O9:O11"/>
    <mergeCell ref="P9:P10"/>
    <mergeCell ref="M8:M11"/>
    <mergeCell ref="N8:Q8"/>
    <mergeCell ref="Q9:Q10"/>
    <mergeCell ref="R8:R11"/>
    <mergeCell ref="C9:C11"/>
    <mergeCell ref="D9:D11"/>
    <mergeCell ref="E9:E11"/>
    <mergeCell ref="F9:F11"/>
    <mergeCell ref="G9:G11"/>
    <mergeCell ref="H9:H11"/>
    <mergeCell ref="I9:I11"/>
    <mergeCell ref="L9:L11"/>
    <mergeCell ref="N9:N11"/>
    <mergeCell ref="A1:F1"/>
    <mergeCell ref="A2:F2"/>
    <mergeCell ref="A3:F3"/>
    <mergeCell ref="A8:A11"/>
    <mergeCell ref="B8:B11"/>
    <mergeCell ref="C8:K8"/>
    <mergeCell ref="J9:J11"/>
    <mergeCell ref="K9:K11"/>
  </mergeCells>
  <printOptions/>
  <pageMargins left="0.3937007874015748" right="0.3937007874015748" top="0.5905511811023623" bottom="0.3937007874015748" header="0.5118110236220472" footer="0.5118110236220472"/>
  <pageSetup fitToHeight="6" fitToWidth="2" horizontalDpi="600" verticalDpi="600" orientation="landscape" paperSize="9" scale="14"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dimension ref="A1:J33"/>
  <sheetViews>
    <sheetView view="pageBreakPreview" zoomScale="60" workbookViewId="0" topLeftCell="A1">
      <selection activeCell="E6" sqref="E6"/>
    </sheetView>
  </sheetViews>
  <sheetFormatPr defaultColWidth="9.140625" defaultRowHeight="12.75"/>
  <cols>
    <col min="1" max="1" width="14.421875" style="407" customWidth="1"/>
    <col min="2" max="2" width="83.8515625" style="407" customWidth="1"/>
    <col min="3" max="3" width="23.8515625" style="407" customWidth="1"/>
    <col min="4" max="4" width="24.00390625" style="407" customWidth="1"/>
    <col min="5" max="5" width="23.28125" style="407" customWidth="1"/>
    <col min="6" max="6" width="21.7109375" style="407" customWidth="1"/>
    <col min="7" max="7" width="11.57421875" style="407" customWidth="1"/>
    <col min="8" max="8" width="9.140625" style="407" customWidth="1"/>
    <col min="9" max="9" width="9.140625" style="408" customWidth="1"/>
    <col min="10" max="16384" width="9.140625" style="407" customWidth="1"/>
  </cols>
  <sheetData>
    <row r="1" ht="21">
      <c r="E1" s="284" t="s">
        <v>107</v>
      </c>
    </row>
    <row r="2" ht="21">
      <c r="E2" s="284" t="s">
        <v>35</v>
      </c>
    </row>
    <row r="3" ht="21">
      <c r="E3" s="284" t="s">
        <v>97</v>
      </c>
    </row>
    <row r="4" ht="21">
      <c r="E4" s="284" t="s">
        <v>604</v>
      </c>
    </row>
    <row r="5" spans="5:6" ht="19.5">
      <c r="E5" s="556" t="s">
        <v>24</v>
      </c>
      <c r="F5" s="100"/>
    </row>
    <row r="7" spans="1:10" ht="21">
      <c r="A7" s="532" t="s">
        <v>108</v>
      </c>
      <c r="B7" s="533"/>
      <c r="C7" s="533"/>
      <c r="D7" s="534"/>
      <c r="E7" s="534"/>
      <c r="F7" s="534"/>
      <c r="G7" s="284"/>
      <c r="H7" s="284"/>
      <c r="I7" s="410"/>
      <c r="J7" s="284"/>
    </row>
    <row r="8" spans="1:10" ht="21">
      <c r="A8" s="409"/>
      <c r="B8" s="411"/>
      <c r="C8" s="411"/>
      <c r="D8" s="284"/>
      <c r="E8" s="284"/>
      <c r="F8" s="284"/>
      <c r="G8" s="284"/>
      <c r="H8" s="284"/>
      <c r="I8" s="410"/>
      <c r="J8" s="284"/>
    </row>
    <row r="9" spans="1:10" ht="21">
      <c r="A9" s="284"/>
      <c r="B9" s="284"/>
      <c r="D9" s="284"/>
      <c r="E9" s="284"/>
      <c r="F9" s="412" t="s">
        <v>346</v>
      </c>
      <c r="G9" s="284"/>
      <c r="H9" s="284"/>
      <c r="I9" s="410"/>
      <c r="J9" s="284"/>
    </row>
    <row r="10" spans="1:10" ht="21">
      <c r="A10" s="535" t="s">
        <v>109</v>
      </c>
      <c r="B10" s="535" t="s">
        <v>302</v>
      </c>
      <c r="C10" s="535" t="s">
        <v>842</v>
      </c>
      <c r="D10" s="536" t="s">
        <v>844</v>
      </c>
      <c r="E10" s="536"/>
      <c r="F10" s="535" t="s">
        <v>704</v>
      </c>
      <c r="G10" s="284"/>
      <c r="H10" s="284"/>
      <c r="I10" s="410"/>
      <c r="J10" s="284"/>
    </row>
    <row r="11" spans="1:10" ht="41.25">
      <c r="A11" s="535"/>
      <c r="B11" s="535"/>
      <c r="C11" s="535"/>
      <c r="D11" s="413" t="s">
        <v>704</v>
      </c>
      <c r="E11" s="414" t="s">
        <v>771</v>
      </c>
      <c r="F11" s="535"/>
      <c r="G11" s="284"/>
      <c r="H11" s="284"/>
      <c r="I11" s="410"/>
      <c r="J11" s="284"/>
    </row>
    <row r="12" spans="1:10" ht="21">
      <c r="A12" s="413">
        <v>1</v>
      </c>
      <c r="B12" s="413">
        <v>2</v>
      </c>
      <c r="C12" s="413">
        <v>3</v>
      </c>
      <c r="D12" s="413">
        <v>4</v>
      </c>
      <c r="E12" s="413">
        <v>5</v>
      </c>
      <c r="F12" s="413">
        <v>6</v>
      </c>
      <c r="G12" s="284"/>
      <c r="H12" s="284"/>
      <c r="I12" s="410"/>
      <c r="J12" s="284"/>
    </row>
    <row r="13" spans="1:10" ht="21">
      <c r="A13" s="415"/>
      <c r="B13" s="416" t="s">
        <v>110</v>
      </c>
      <c r="C13" s="413"/>
      <c r="D13" s="417"/>
      <c r="E13" s="417"/>
      <c r="F13" s="417"/>
      <c r="G13" s="284"/>
      <c r="H13" s="284"/>
      <c r="I13" s="410"/>
      <c r="J13" s="284"/>
    </row>
    <row r="14" spans="1:10" ht="27" customHeight="1">
      <c r="A14" s="415">
        <v>200000</v>
      </c>
      <c r="B14" s="418" t="s">
        <v>111</v>
      </c>
      <c r="C14" s="419">
        <f>SUM(C15)</f>
        <v>-50462397</v>
      </c>
      <c r="D14" s="419">
        <f>SUM(D15)</f>
        <v>168941457</v>
      </c>
      <c r="E14" s="419">
        <f>SUM(E15)</f>
        <v>144757626</v>
      </c>
      <c r="F14" s="419">
        <f>SUM(C14+D14)</f>
        <v>118479060</v>
      </c>
      <c r="G14" s="284"/>
      <c r="H14" s="284"/>
      <c r="I14" s="410"/>
      <c r="J14" s="284"/>
    </row>
    <row r="15" spans="1:10" ht="40.5" customHeight="1">
      <c r="A15" s="420">
        <v>208000</v>
      </c>
      <c r="B15" s="421" t="s">
        <v>112</v>
      </c>
      <c r="C15" s="419">
        <f>SUM(C16-C17+C18)</f>
        <v>-50462397</v>
      </c>
      <c r="D15" s="419">
        <f>SUM(D16-D17+D18)</f>
        <v>168941457</v>
      </c>
      <c r="E15" s="419">
        <f>SUM(E16-E17+E18)</f>
        <v>144757626</v>
      </c>
      <c r="F15" s="419">
        <f>SUM(F16-F17)</f>
        <v>118479060.00000001</v>
      </c>
      <c r="G15" s="284"/>
      <c r="H15" s="284"/>
      <c r="I15" s="410"/>
      <c r="J15" s="284"/>
    </row>
    <row r="16" spans="1:10" ht="27" customHeight="1">
      <c r="A16" s="420">
        <v>208100</v>
      </c>
      <c r="B16" s="422" t="s">
        <v>113</v>
      </c>
      <c r="C16" s="419">
        <v>22763178.42</v>
      </c>
      <c r="D16" s="419">
        <v>141945937</v>
      </c>
      <c r="E16" s="419">
        <v>112272016</v>
      </c>
      <c r="F16" s="419">
        <f aca="true" t="shared" si="0" ref="F16:F26">SUM(C16+D16)</f>
        <v>164709115.42000002</v>
      </c>
      <c r="G16" s="284"/>
      <c r="H16" s="284"/>
      <c r="I16" s="410"/>
      <c r="J16" s="284"/>
    </row>
    <row r="17" spans="1:10" ht="27" customHeight="1">
      <c r="A17" s="420">
        <v>208200</v>
      </c>
      <c r="B17" s="422" t="s">
        <v>114</v>
      </c>
      <c r="C17" s="419">
        <f>C16-9009703</f>
        <v>13753475.420000002</v>
      </c>
      <c r="D17" s="419">
        <f>D16-109469357</f>
        <v>32476580</v>
      </c>
      <c r="E17" s="419">
        <f>E16-85285526</f>
        <v>26986490</v>
      </c>
      <c r="F17" s="419">
        <f t="shared" si="0"/>
        <v>46230055.42</v>
      </c>
      <c r="G17" s="284"/>
      <c r="H17" s="284"/>
      <c r="I17" s="410"/>
      <c r="J17" s="284"/>
    </row>
    <row r="18" spans="1:10" ht="41.25">
      <c r="A18" s="415">
        <v>208400</v>
      </c>
      <c r="B18" s="422" t="s">
        <v>115</v>
      </c>
      <c r="C18" s="419">
        <f>-48180000-292100-3000000-8000000</f>
        <v>-59472100</v>
      </c>
      <c r="D18" s="419">
        <f>48180000+292100+3000000+8000000</f>
        <v>59472100</v>
      </c>
      <c r="E18" s="419">
        <f>48180000+292100+3000000+8000000</f>
        <v>59472100</v>
      </c>
      <c r="F18" s="419">
        <f t="shared" si="0"/>
        <v>0</v>
      </c>
      <c r="G18" s="284"/>
      <c r="H18" s="284"/>
      <c r="I18" s="410"/>
      <c r="J18" s="284"/>
    </row>
    <row r="19" spans="1:10" ht="26.25" customHeight="1">
      <c r="A19" s="415"/>
      <c r="B19" s="423" t="s">
        <v>116</v>
      </c>
      <c r="C19" s="419">
        <f>SUM(C14)</f>
        <v>-50462397</v>
      </c>
      <c r="D19" s="419">
        <f>SUM(D14)</f>
        <v>168941457</v>
      </c>
      <c r="E19" s="419">
        <f>SUM(E14)</f>
        <v>144757626</v>
      </c>
      <c r="F19" s="419">
        <f t="shared" si="0"/>
        <v>118479060</v>
      </c>
      <c r="G19" s="284"/>
      <c r="H19" s="284"/>
      <c r="I19" s="410"/>
      <c r="J19" s="284"/>
    </row>
    <row r="20" spans="1:10" ht="26.25" customHeight="1">
      <c r="A20" s="415"/>
      <c r="B20" s="416" t="s">
        <v>117</v>
      </c>
      <c r="C20" s="419"/>
      <c r="D20" s="419"/>
      <c r="E20" s="419"/>
      <c r="F20" s="419"/>
      <c r="G20" s="284"/>
      <c r="H20" s="284"/>
      <c r="I20" s="410"/>
      <c r="J20" s="284"/>
    </row>
    <row r="21" spans="1:10" ht="24" customHeight="1">
      <c r="A21" s="415">
        <v>600000</v>
      </c>
      <c r="B21" s="422" t="s">
        <v>118</v>
      </c>
      <c r="C21" s="419">
        <f>SUM(C22)</f>
        <v>-50462397</v>
      </c>
      <c r="D21" s="419">
        <f>SUM(D22)</f>
        <v>168941457</v>
      </c>
      <c r="E21" s="419">
        <f>SUM(E22)</f>
        <v>144757626</v>
      </c>
      <c r="F21" s="419">
        <f>SUM(F22)</f>
        <v>118479060</v>
      </c>
      <c r="G21" s="284"/>
      <c r="H21" s="284"/>
      <c r="I21" s="410"/>
      <c r="J21" s="284"/>
    </row>
    <row r="22" spans="1:10" ht="25.5" customHeight="1">
      <c r="A22" s="420">
        <v>602000</v>
      </c>
      <c r="B22" s="422" t="s">
        <v>119</v>
      </c>
      <c r="C22" s="419">
        <f>C23-C24+C25</f>
        <v>-50462397</v>
      </c>
      <c r="D22" s="419">
        <f>SUM(D23-D24+D25)</f>
        <v>168941457</v>
      </c>
      <c r="E22" s="419">
        <f>SUM(E23-E24+E25)</f>
        <v>144757626</v>
      </c>
      <c r="F22" s="419">
        <f t="shared" si="0"/>
        <v>118479060</v>
      </c>
      <c r="G22" s="284"/>
      <c r="H22" s="284"/>
      <c r="I22" s="410"/>
      <c r="J22" s="284"/>
    </row>
    <row r="23" spans="1:10" ht="24.75" customHeight="1">
      <c r="A23" s="420">
        <v>602100</v>
      </c>
      <c r="B23" s="422" t="s">
        <v>113</v>
      </c>
      <c r="C23" s="419">
        <v>22763178.42</v>
      </c>
      <c r="D23" s="419">
        <v>141945937</v>
      </c>
      <c r="E23" s="419">
        <v>1122720106</v>
      </c>
      <c r="F23" s="419">
        <f t="shared" si="0"/>
        <v>164709115.42000002</v>
      </c>
      <c r="G23" s="284"/>
      <c r="H23" s="284"/>
      <c r="I23" s="410"/>
      <c r="J23" s="284"/>
    </row>
    <row r="24" spans="1:10" ht="27.75" customHeight="1">
      <c r="A24" s="415">
        <v>602200</v>
      </c>
      <c r="B24" s="422" t="s">
        <v>114</v>
      </c>
      <c r="C24" s="419">
        <f>C23-9009703</f>
        <v>13753475.420000002</v>
      </c>
      <c r="D24" s="419">
        <f>D23-109469357</f>
        <v>32476580</v>
      </c>
      <c r="E24" s="419">
        <f>E23-85285526</f>
        <v>1037434580</v>
      </c>
      <c r="F24" s="419">
        <f t="shared" si="0"/>
        <v>46230055.42</v>
      </c>
      <c r="G24" s="284"/>
      <c r="H24" s="284"/>
      <c r="I24" s="410"/>
      <c r="J24" s="284"/>
    </row>
    <row r="25" spans="1:10" ht="41.25">
      <c r="A25" s="424">
        <v>602400</v>
      </c>
      <c r="B25" s="421" t="s">
        <v>115</v>
      </c>
      <c r="C25" s="419">
        <f>-48180000-292100-3000000-8000000</f>
        <v>-59472100</v>
      </c>
      <c r="D25" s="419">
        <f>48180000+292100+3000000+8000000</f>
        <v>59472100</v>
      </c>
      <c r="E25" s="419">
        <f>48180000+292100+3000000+8000000</f>
        <v>59472100</v>
      </c>
      <c r="F25" s="419">
        <f t="shared" si="0"/>
        <v>0</v>
      </c>
      <c r="G25" s="284"/>
      <c r="H25" s="284"/>
      <c r="I25" s="410"/>
      <c r="J25" s="284"/>
    </row>
    <row r="26" spans="1:10" ht="21">
      <c r="A26" s="415"/>
      <c r="B26" s="423" t="s">
        <v>120</v>
      </c>
      <c r="C26" s="419">
        <f>SUM(C21)</f>
        <v>-50462397</v>
      </c>
      <c r="D26" s="419">
        <f>SUM(D21)</f>
        <v>168941457</v>
      </c>
      <c r="E26" s="419">
        <f>SUM(E21)</f>
        <v>144757626</v>
      </c>
      <c r="F26" s="419">
        <f t="shared" si="0"/>
        <v>118479060</v>
      </c>
      <c r="G26" s="284"/>
      <c r="H26" s="284"/>
      <c r="I26" s="410"/>
      <c r="J26" s="284"/>
    </row>
    <row r="27" spans="1:10" ht="21">
      <c r="A27" s="284"/>
      <c r="B27" s="284"/>
      <c r="C27" s="284"/>
      <c r="D27" s="284"/>
      <c r="E27" s="284"/>
      <c r="F27" s="284"/>
      <c r="G27" s="284"/>
      <c r="H27" s="284"/>
      <c r="I27" s="410"/>
      <c r="J27" s="284"/>
    </row>
    <row r="28" spans="1:10" ht="21">
      <c r="A28" s="284"/>
      <c r="B28" s="284"/>
      <c r="C28" s="284"/>
      <c r="D28" s="284"/>
      <c r="E28" s="284"/>
      <c r="F28" s="284"/>
      <c r="G28" s="284"/>
      <c r="H28" s="284"/>
      <c r="I28" s="410"/>
      <c r="J28" s="284"/>
    </row>
    <row r="29" spans="1:10" ht="33">
      <c r="A29" s="425"/>
      <c r="B29" s="286"/>
      <c r="C29" s="426"/>
      <c r="D29" s="426"/>
      <c r="E29" s="284"/>
      <c r="F29" s="284"/>
      <c r="G29" s="284"/>
      <c r="H29" s="284"/>
      <c r="I29" s="410"/>
      <c r="J29" s="284"/>
    </row>
    <row r="30" spans="1:10" ht="26.25">
      <c r="A30" s="427"/>
      <c r="B30" s="427"/>
      <c r="C30" s="284"/>
      <c r="D30" s="284"/>
      <c r="E30" s="427"/>
      <c r="F30" s="284"/>
      <c r="G30" s="284"/>
      <c r="H30" s="284"/>
      <c r="I30" s="410"/>
      <c r="J30" s="284"/>
    </row>
    <row r="31" spans="1:10" ht="21">
      <c r="A31" s="284"/>
      <c r="B31" s="284"/>
      <c r="C31" s="284"/>
      <c r="D31" s="284"/>
      <c r="E31" s="284"/>
      <c r="F31" s="284"/>
      <c r="G31" s="284"/>
      <c r="H31" s="284"/>
      <c r="I31" s="410"/>
      <c r="J31" s="284"/>
    </row>
    <row r="32" spans="1:10" ht="21">
      <c r="A32" s="284"/>
      <c r="B32" s="284"/>
      <c r="C32" s="284"/>
      <c r="D32" s="284"/>
      <c r="E32" s="284"/>
      <c r="F32" s="284"/>
      <c r="G32" s="284"/>
      <c r="H32" s="284"/>
      <c r="I32" s="410"/>
      <c r="J32" s="284"/>
    </row>
    <row r="33" spans="1:10" ht="21">
      <c r="A33" s="284"/>
      <c r="B33" s="284"/>
      <c r="C33" s="284"/>
      <c r="D33" s="284"/>
      <c r="E33" s="284"/>
      <c r="F33" s="284"/>
      <c r="G33" s="284"/>
      <c r="H33" s="284"/>
      <c r="I33" s="410"/>
      <c r="J33" s="284"/>
    </row>
  </sheetData>
  <mergeCells count="6">
    <mergeCell ref="A7:F7"/>
    <mergeCell ref="A10:A11"/>
    <mergeCell ref="B10:B11"/>
    <mergeCell ref="C10:C11"/>
    <mergeCell ref="D10:E10"/>
    <mergeCell ref="F10:F11"/>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H165"/>
  <sheetViews>
    <sheetView view="pageBreakPreview" zoomScale="60" workbookViewId="0" topLeftCell="A1">
      <selection activeCell="D5" sqref="D5"/>
    </sheetView>
  </sheetViews>
  <sheetFormatPr defaultColWidth="9.140625" defaultRowHeight="12.75"/>
  <cols>
    <col min="1" max="1" width="23.7109375" style="325" customWidth="1"/>
    <col min="2" max="2" width="70.8515625" style="325" customWidth="1"/>
    <col min="3" max="3" width="63.57421875" style="325" customWidth="1"/>
    <col min="4" max="4" width="27.7109375" style="327" customWidth="1"/>
    <col min="5" max="5" width="24.57421875" style="325" customWidth="1"/>
    <col min="6" max="6" width="35.28125" style="325" customWidth="1"/>
    <col min="7" max="7" width="33.00390625" style="406" customWidth="1"/>
    <col min="8" max="8" width="18.421875" style="325" bestFit="1" customWidth="1"/>
    <col min="9" max="16384" width="9.140625" style="325" customWidth="1"/>
  </cols>
  <sheetData>
    <row r="1" spans="2:7" ht="21">
      <c r="B1" s="326"/>
      <c r="E1" s="284" t="s">
        <v>161</v>
      </c>
      <c r="F1" s="328"/>
      <c r="G1" s="327"/>
    </row>
    <row r="2" spans="2:7" ht="21">
      <c r="B2" s="326"/>
      <c r="E2" s="284" t="s">
        <v>35</v>
      </c>
      <c r="F2" s="328"/>
      <c r="G2" s="327"/>
    </row>
    <row r="3" spans="2:7" ht="21">
      <c r="B3" s="326"/>
      <c r="C3" s="326"/>
      <c r="D3" s="329"/>
      <c r="E3" s="284" t="s">
        <v>97</v>
      </c>
      <c r="F3" s="326"/>
      <c r="G3" s="327"/>
    </row>
    <row r="4" spans="2:7" ht="21">
      <c r="B4" s="326"/>
      <c r="C4" s="326"/>
      <c r="D4" s="329"/>
      <c r="E4" s="284" t="s">
        <v>604</v>
      </c>
      <c r="F4" s="326"/>
      <c r="G4" s="327"/>
    </row>
    <row r="5" spans="2:7" ht="19.5">
      <c r="B5" s="326"/>
      <c r="C5" s="326"/>
      <c r="D5" s="329"/>
      <c r="E5" s="558" t="s">
        <v>25</v>
      </c>
      <c r="F5" s="100"/>
      <c r="G5" s="327"/>
    </row>
    <row r="6" spans="1:7" ht="21" customHeight="1">
      <c r="A6" s="537" t="s">
        <v>162</v>
      </c>
      <c r="B6" s="537"/>
      <c r="C6" s="537"/>
      <c r="D6" s="537"/>
      <c r="E6" s="537"/>
      <c r="F6" s="537"/>
      <c r="G6" s="537"/>
    </row>
    <row r="7" spans="1:7" ht="29.25" customHeight="1">
      <c r="A7" s="538" t="s">
        <v>163</v>
      </c>
      <c r="B7" s="538"/>
      <c r="C7" s="538"/>
      <c r="D7" s="538"/>
      <c r="E7" s="538"/>
      <c r="F7" s="538"/>
      <c r="G7" s="538"/>
    </row>
    <row r="8" spans="1:7" ht="22.5" customHeight="1">
      <c r="A8" s="330"/>
      <c r="C8" s="331"/>
      <c r="D8" s="332"/>
      <c r="G8" s="333" t="s">
        <v>164</v>
      </c>
    </row>
    <row r="9" spans="1:7" ht="154.5" customHeight="1">
      <c r="A9" s="334" t="s">
        <v>165</v>
      </c>
      <c r="B9" s="335" t="s">
        <v>166</v>
      </c>
      <c r="C9" s="539" t="s">
        <v>167</v>
      </c>
      <c r="D9" s="540" t="s">
        <v>823</v>
      </c>
      <c r="E9" s="539" t="s">
        <v>824</v>
      </c>
      <c r="F9" s="539" t="s">
        <v>825</v>
      </c>
      <c r="G9" s="540" t="s">
        <v>826</v>
      </c>
    </row>
    <row r="10" spans="1:7" ht="122.25" customHeight="1">
      <c r="A10" s="336" t="s">
        <v>637</v>
      </c>
      <c r="B10" s="335" t="s">
        <v>827</v>
      </c>
      <c r="C10" s="539"/>
      <c r="D10" s="540"/>
      <c r="E10" s="539"/>
      <c r="F10" s="539"/>
      <c r="G10" s="540"/>
    </row>
    <row r="11" spans="1:7" ht="20.25" thickBot="1">
      <c r="A11" s="337">
        <v>1</v>
      </c>
      <c r="B11" s="338">
        <v>2</v>
      </c>
      <c r="C11" s="339">
        <v>3</v>
      </c>
      <c r="D11" s="340">
        <v>4</v>
      </c>
      <c r="E11" s="339">
        <v>5</v>
      </c>
      <c r="F11" s="340">
        <v>6</v>
      </c>
      <c r="G11" s="339">
        <v>7</v>
      </c>
    </row>
    <row r="12" spans="1:7" s="345" customFormat="1" ht="65.25" customHeight="1" thickBot="1">
      <c r="A12" s="341">
        <v>47</v>
      </c>
      <c r="B12" s="342" t="s">
        <v>19</v>
      </c>
      <c r="C12" s="343"/>
      <c r="D12" s="344">
        <f>SUM(D13:D36)</f>
        <v>335522166</v>
      </c>
      <c r="E12" s="344"/>
      <c r="F12" s="344">
        <f>SUM(F13:F36)</f>
        <v>220639889.81</v>
      </c>
      <c r="G12" s="344">
        <f>SUM(G13:G36)</f>
        <v>155708635</v>
      </c>
    </row>
    <row r="13" spans="1:7" s="350" customFormat="1" ht="101.25" customHeight="1">
      <c r="A13" s="346">
        <v>150101</v>
      </c>
      <c r="B13" s="347" t="s">
        <v>598</v>
      </c>
      <c r="C13" s="348" t="s">
        <v>828</v>
      </c>
      <c r="D13" s="349">
        <v>28344960</v>
      </c>
      <c r="E13" s="349">
        <f>(D13-F13)/D13*100</f>
        <v>6.959191334191334</v>
      </c>
      <c r="F13" s="349">
        <v>26372380</v>
      </c>
      <c r="G13" s="349">
        <v>26009860</v>
      </c>
    </row>
    <row r="14" spans="1:7" s="350" customFormat="1" ht="113.25" customHeight="1">
      <c r="A14" s="346">
        <v>150101</v>
      </c>
      <c r="B14" s="351" t="s">
        <v>598</v>
      </c>
      <c r="C14" s="348" t="s">
        <v>829</v>
      </c>
      <c r="D14" s="352">
        <v>74096580</v>
      </c>
      <c r="E14" s="349">
        <f>(D14-F14)/D14*100</f>
        <v>52.42447087301465</v>
      </c>
      <c r="F14" s="353">
        <v>35251840</v>
      </c>
      <c r="G14" s="349">
        <f>34307160-459400</f>
        <v>33847760</v>
      </c>
    </row>
    <row r="15" spans="1:7" s="350" customFormat="1" ht="54" customHeight="1">
      <c r="A15" s="354">
        <v>150101</v>
      </c>
      <c r="B15" s="351" t="s">
        <v>598</v>
      </c>
      <c r="C15" s="348" t="s">
        <v>830</v>
      </c>
      <c r="D15" s="349">
        <v>14232900</v>
      </c>
      <c r="E15" s="349">
        <f>(D15-F15)/D15*100</f>
        <v>58.04832465625417</v>
      </c>
      <c r="F15" s="355">
        <v>5970940</v>
      </c>
      <c r="G15" s="349">
        <v>5970940</v>
      </c>
    </row>
    <row r="16" spans="1:7" s="350" customFormat="1" ht="54" customHeight="1">
      <c r="A16" s="354">
        <v>150101</v>
      </c>
      <c r="B16" s="351" t="s">
        <v>598</v>
      </c>
      <c r="C16" s="348" t="s">
        <v>84</v>
      </c>
      <c r="D16" s="349">
        <v>8721000</v>
      </c>
      <c r="E16" s="349">
        <f>(D16-F16)/D16*100</f>
        <v>94.73225547528953</v>
      </c>
      <c r="F16" s="355">
        <v>459400</v>
      </c>
      <c r="G16" s="349">
        <v>459400</v>
      </c>
    </row>
    <row r="17" spans="1:7" s="350" customFormat="1" ht="58.5" customHeight="1">
      <c r="A17" s="354">
        <v>150101</v>
      </c>
      <c r="B17" s="351" t="s">
        <v>598</v>
      </c>
      <c r="C17" s="348" t="s">
        <v>224</v>
      </c>
      <c r="D17" s="349">
        <v>52827060</v>
      </c>
      <c r="E17" s="349"/>
      <c r="F17" s="355">
        <v>52827060</v>
      </c>
      <c r="G17" s="349">
        <v>1330000</v>
      </c>
    </row>
    <row r="18" spans="1:7" s="350" customFormat="1" ht="75.75" customHeight="1">
      <c r="A18" s="354">
        <v>150101</v>
      </c>
      <c r="B18" s="351" t="s">
        <v>598</v>
      </c>
      <c r="C18" s="348" t="s">
        <v>831</v>
      </c>
      <c r="D18" s="349">
        <v>2902440</v>
      </c>
      <c r="E18" s="349"/>
      <c r="F18" s="355">
        <v>2899400</v>
      </c>
      <c r="G18" s="349">
        <v>1026000</v>
      </c>
    </row>
    <row r="19" spans="1:7" s="350" customFormat="1" ht="126.75" customHeight="1">
      <c r="A19" s="354">
        <v>150101</v>
      </c>
      <c r="B19" s="351" t="s">
        <v>598</v>
      </c>
      <c r="C19" s="348" t="s">
        <v>832</v>
      </c>
      <c r="D19" s="349">
        <v>8809920</v>
      </c>
      <c r="E19" s="349"/>
      <c r="F19" s="355">
        <v>8809920</v>
      </c>
      <c r="G19" s="349">
        <v>608000</v>
      </c>
    </row>
    <row r="20" spans="1:7" s="350" customFormat="1" ht="129.75" customHeight="1">
      <c r="A20" s="354">
        <v>150101</v>
      </c>
      <c r="B20" s="351" t="s">
        <v>598</v>
      </c>
      <c r="C20" s="348" t="s">
        <v>833</v>
      </c>
      <c r="D20" s="349">
        <v>36484500</v>
      </c>
      <c r="E20" s="349">
        <f>(D20-F20)/D20*100</f>
        <v>94.04760925872631</v>
      </c>
      <c r="F20" s="355">
        <v>2171700</v>
      </c>
      <c r="G20" s="349">
        <v>2171700</v>
      </c>
    </row>
    <row r="21" spans="1:7" s="350" customFormat="1" ht="131.25" customHeight="1">
      <c r="A21" s="354">
        <v>150101</v>
      </c>
      <c r="B21" s="351" t="s">
        <v>598</v>
      </c>
      <c r="C21" s="348" t="s">
        <v>834</v>
      </c>
      <c r="D21" s="349">
        <v>6825400</v>
      </c>
      <c r="E21" s="349">
        <f>(D21-F21)/D21*100</f>
        <v>0</v>
      </c>
      <c r="F21" s="355">
        <v>6825400</v>
      </c>
      <c r="G21" s="349">
        <v>6825400</v>
      </c>
    </row>
    <row r="22" spans="1:7" s="350" customFormat="1" ht="48" customHeight="1">
      <c r="A22" s="354">
        <v>150101</v>
      </c>
      <c r="B22" s="351" t="s">
        <v>598</v>
      </c>
      <c r="C22" s="348" t="s">
        <v>835</v>
      </c>
      <c r="D22" s="349">
        <v>4636000</v>
      </c>
      <c r="E22" s="349">
        <f>(D22-F22)/D22*100</f>
        <v>30.434426229508198</v>
      </c>
      <c r="F22" s="355">
        <v>3225060</v>
      </c>
      <c r="G22" s="349">
        <v>3225060</v>
      </c>
    </row>
    <row r="23" spans="1:7" s="350" customFormat="1" ht="46.5" customHeight="1">
      <c r="A23" s="354">
        <v>150101</v>
      </c>
      <c r="B23" s="351" t="s">
        <v>598</v>
      </c>
      <c r="C23" s="348" t="s">
        <v>836</v>
      </c>
      <c r="D23" s="349">
        <v>449920</v>
      </c>
      <c r="E23" s="349"/>
      <c r="F23" s="355">
        <v>449920</v>
      </c>
      <c r="G23" s="349">
        <v>449920</v>
      </c>
    </row>
    <row r="24" spans="1:7" s="350" customFormat="1" ht="108.75" customHeight="1">
      <c r="A24" s="354">
        <v>150101</v>
      </c>
      <c r="B24" s="351" t="s">
        <v>598</v>
      </c>
      <c r="C24" s="348" t="s">
        <v>837</v>
      </c>
      <c r="D24" s="349">
        <v>2434926</v>
      </c>
      <c r="E24" s="349"/>
      <c r="F24" s="355">
        <v>2434926</v>
      </c>
      <c r="G24" s="349">
        <v>2434926</v>
      </c>
    </row>
    <row r="25" spans="1:7" s="350" customFormat="1" ht="113.25" customHeight="1">
      <c r="A25" s="354">
        <v>150101</v>
      </c>
      <c r="B25" s="351" t="s">
        <v>598</v>
      </c>
      <c r="C25" s="348" t="s">
        <v>501</v>
      </c>
      <c r="D25" s="356"/>
      <c r="E25" s="356"/>
      <c r="F25" s="356">
        <v>362360.06</v>
      </c>
      <c r="G25" s="356">
        <v>362360</v>
      </c>
    </row>
    <row r="26" spans="1:7" s="350" customFormat="1" ht="143.25" customHeight="1">
      <c r="A26" s="354">
        <v>150101</v>
      </c>
      <c r="B26" s="351" t="s">
        <v>598</v>
      </c>
      <c r="C26" s="348" t="s">
        <v>502</v>
      </c>
      <c r="D26" s="356"/>
      <c r="E26" s="356"/>
      <c r="F26" s="356">
        <v>944633.3</v>
      </c>
      <c r="G26" s="356">
        <v>944634</v>
      </c>
    </row>
    <row r="27" spans="1:7" s="350" customFormat="1" ht="86.25" customHeight="1">
      <c r="A27" s="354">
        <v>150101</v>
      </c>
      <c r="B27" s="351" t="s">
        <v>598</v>
      </c>
      <c r="C27" s="348" t="s">
        <v>503</v>
      </c>
      <c r="D27" s="357"/>
      <c r="E27" s="357"/>
      <c r="F27" s="356">
        <v>84501.32</v>
      </c>
      <c r="G27" s="356">
        <v>84501</v>
      </c>
    </row>
    <row r="28" spans="1:7" s="350" customFormat="1" ht="74.25" customHeight="1">
      <c r="A28" s="354">
        <v>150101</v>
      </c>
      <c r="B28" s="351" t="s">
        <v>598</v>
      </c>
      <c r="C28" s="348" t="s">
        <v>504</v>
      </c>
      <c r="D28" s="357">
        <v>1782580</v>
      </c>
      <c r="E28" s="349">
        <f>(D28-F28)/D28*100</f>
        <v>9.18780643785973</v>
      </c>
      <c r="F28" s="356">
        <v>1618800</v>
      </c>
      <c r="G28" s="356">
        <v>1618800</v>
      </c>
    </row>
    <row r="29" spans="1:7" s="350" customFormat="1" ht="65.25" customHeight="1">
      <c r="A29" s="354">
        <v>150101</v>
      </c>
      <c r="B29" s="351" t="s">
        <v>598</v>
      </c>
      <c r="C29" s="348" t="s">
        <v>505</v>
      </c>
      <c r="D29" s="357">
        <v>3700060</v>
      </c>
      <c r="E29" s="349">
        <f>(D29-F29)/D29*100</f>
        <v>84.8926774160419</v>
      </c>
      <c r="F29" s="356">
        <v>558980</v>
      </c>
      <c r="G29" s="356">
        <v>558980</v>
      </c>
    </row>
    <row r="30" spans="1:7" s="350" customFormat="1" ht="101.25" customHeight="1">
      <c r="A30" s="354">
        <v>150101</v>
      </c>
      <c r="B30" s="351" t="s">
        <v>598</v>
      </c>
      <c r="C30" s="348" t="s">
        <v>506</v>
      </c>
      <c r="D30" s="357"/>
      <c r="E30" s="357"/>
      <c r="F30" s="356">
        <v>2849578.2</v>
      </c>
      <c r="G30" s="356">
        <v>2849578</v>
      </c>
    </row>
    <row r="31" spans="1:7" s="350" customFormat="1" ht="101.25" customHeight="1">
      <c r="A31" s="354">
        <v>150101</v>
      </c>
      <c r="B31" s="351" t="s">
        <v>598</v>
      </c>
      <c r="C31" s="348" t="s">
        <v>507</v>
      </c>
      <c r="D31" s="357">
        <v>11056400</v>
      </c>
      <c r="E31" s="349">
        <f>(D31-F31)/D31*100</f>
        <v>18.909409934517566</v>
      </c>
      <c r="F31" s="356">
        <v>8965700</v>
      </c>
      <c r="G31" s="356">
        <v>8965700</v>
      </c>
    </row>
    <row r="32" spans="1:7" s="350" customFormat="1" ht="75.75" customHeight="1">
      <c r="A32" s="354">
        <v>150101</v>
      </c>
      <c r="B32" s="351" t="s">
        <v>598</v>
      </c>
      <c r="C32" s="348" t="s">
        <v>508</v>
      </c>
      <c r="D32" s="357">
        <v>20399160</v>
      </c>
      <c r="E32" s="349">
        <f>(D32-F32)/D32*100</f>
        <v>97.20576729630044</v>
      </c>
      <c r="F32" s="356">
        <v>570000</v>
      </c>
      <c r="G32" s="356">
        <v>570000</v>
      </c>
    </row>
    <row r="33" spans="1:7" s="350" customFormat="1" ht="54.75" customHeight="1">
      <c r="A33" s="354">
        <v>150101</v>
      </c>
      <c r="B33" s="351" t="s">
        <v>598</v>
      </c>
      <c r="C33" s="348" t="s">
        <v>509</v>
      </c>
      <c r="D33" s="357"/>
      <c r="E33" s="357"/>
      <c r="F33" s="356">
        <v>1411030.93</v>
      </c>
      <c r="G33" s="356">
        <v>1411031</v>
      </c>
    </row>
    <row r="34" spans="1:7" s="350" customFormat="1" ht="80.25" customHeight="1">
      <c r="A34" s="354">
        <v>150101</v>
      </c>
      <c r="B34" s="351" t="s">
        <v>598</v>
      </c>
      <c r="C34" s="348" t="s">
        <v>510</v>
      </c>
      <c r="D34" s="357"/>
      <c r="E34" s="357"/>
      <c r="F34" s="357"/>
      <c r="G34" s="356">
        <v>54785</v>
      </c>
    </row>
    <row r="35" spans="1:7" s="350" customFormat="1" ht="218.25" customHeight="1">
      <c r="A35" s="354">
        <v>150101</v>
      </c>
      <c r="B35" s="351" t="s">
        <v>598</v>
      </c>
      <c r="C35" s="348" t="s">
        <v>511</v>
      </c>
      <c r="D35" s="355">
        <v>4991300</v>
      </c>
      <c r="E35" s="355"/>
      <c r="F35" s="349">
        <v>2749300</v>
      </c>
      <c r="G35" s="349">
        <v>2749300</v>
      </c>
    </row>
    <row r="36" spans="1:7" s="350" customFormat="1" ht="153" customHeight="1">
      <c r="A36" s="358">
        <v>250372</v>
      </c>
      <c r="B36" s="348" t="s">
        <v>672</v>
      </c>
      <c r="C36" s="348" t="s">
        <v>79</v>
      </c>
      <c r="D36" s="349">
        <v>52827060</v>
      </c>
      <c r="E36" s="349"/>
      <c r="F36" s="349">
        <v>52827060</v>
      </c>
      <c r="G36" s="349">
        <f>48180000+3000000</f>
        <v>51180000</v>
      </c>
    </row>
    <row r="37" spans="1:7" s="345" customFormat="1" ht="51.75" customHeight="1" thickBot="1">
      <c r="A37" s="359">
        <v>40</v>
      </c>
      <c r="B37" s="360" t="s">
        <v>127</v>
      </c>
      <c r="C37" s="361"/>
      <c r="D37" s="362">
        <f>SUM(D38:D67)</f>
        <v>64034384.4</v>
      </c>
      <c r="E37" s="362"/>
      <c r="F37" s="362">
        <f>SUM(F38:F67)</f>
        <v>67326752.69</v>
      </c>
      <c r="G37" s="362">
        <f>SUM(G38:G67)</f>
        <v>67326753</v>
      </c>
    </row>
    <row r="38" spans="1:7" ht="45" customHeight="1">
      <c r="A38" s="354">
        <v>150101</v>
      </c>
      <c r="B38" s="351" t="s">
        <v>598</v>
      </c>
      <c r="C38" s="363" t="s">
        <v>512</v>
      </c>
      <c r="D38" s="349">
        <v>15140644</v>
      </c>
      <c r="E38" s="352"/>
      <c r="F38" s="349">
        <v>15140644</v>
      </c>
      <c r="G38" s="349">
        <v>15140644</v>
      </c>
    </row>
    <row r="39" spans="1:7" ht="45" customHeight="1">
      <c r="A39" s="354">
        <v>150101</v>
      </c>
      <c r="B39" s="351" t="s">
        <v>598</v>
      </c>
      <c r="C39" s="348" t="s">
        <v>513</v>
      </c>
      <c r="D39" s="352">
        <v>1520000</v>
      </c>
      <c r="E39" s="352"/>
      <c r="F39" s="349">
        <v>1520000</v>
      </c>
      <c r="G39" s="349">
        <v>1520000</v>
      </c>
    </row>
    <row r="40" spans="1:7" ht="58.5" customHeight="1">
      <c r="A40" s="354">
        <v>150101</v>
      </c>
      <c r="B40" s="351" t="s">
        <v>598</v>
      </c>
      <c r="C40" s="348" t="s">
        <v>514</v>
      </c>
      <c r="D40" s="349">
        <v>1900000</v>
      </c>
      <c r="E40" s="349"/>
      <c r="F40" s="349">
        <v>1900000</v>
      </c>
      <c r="G40" s="349">
        <v>1900000</v>
      </c>
    </row>
    <row r="41" spans="1:7" ht="79.5" customHeight="1">
      <c r="A41" s="354">
        <v>150101</v>
      </c>
      <c r="B41" s="351" t="s">
        <v>598</v>
      </c>
      <c r="C41" s="348" t="s">
        <v>515</v>
      </c>
      <c r="D41" s="349">
        <v>3799620</v>
      </c>
      <c r="E41" s="349"/>
      <c r="F41" s="349">
        <v>3799620</v>
      </c>
      <c r="G41" s="349">
        <v>3799620</v>
      </c>
    </row>
    <row r="42" spans="1:7" ht="94.5" customHeight="1">
      <c r="A42" s="354">
        <v>150101</v>
      </c>
      <c r="B42" s="351" t="s">
        <v>598</v>
      </c>
      <c r="C42" s="348" t="s">
        <v>516</v>
      </c>
      <c r="D42" s="349">
        <v>760000</v>
      </c>
      <c r="E42" s="349"/>
      <c r="F42" s="349">
        <v>760000</v>
      </c>
      <c r="G42" s="349">
        <v>760000</v>
      </c>
    </row>
    <row r="43" spans="1:7" ht="33" customHeight="1">
      <c r="A43" s="354">
        <v>150101</v>
      </c>
      <c r="B43" s="351" t="s">
        <v>598</v>
      </c>
      <c r="C43" s="348" t="s">
        <v>517</v>
      </c>
      <c r="D43" s="349">
        <v>258400</v>
      </c>
      <c r="E43" s="349"/>
      <c r="F43" s="349">
        <v>258400</v>
      </c>
      <c r="G43" s="349">
        <v>258400</v>
      </c>
    </row>
    <row r="44" spans="1:7" ht="65.25" customHeight="1">
      <c r="A44" s="354">
        <v>150101</v>
      </c>
      <c r="B44" s="351" t="s">
        <v>598</v>
      </c>
      <c r="C44" s="348" t="s">
        <v>518</v>
      </c>
      <c r="D44" s="349">
        <v>5700000</v>
      </c>
      <c r="E44" s="349"/>
      <c r="F44" s="349">
        <v>5700000</v>
      </c>
      <c r="G44" s="349">
        <v>5700000</v>
      </c>
    </row>
    <row r="45" spans="1:7" ht="42" customHeight="1">
      <c r="A45" s="354">
        <v>150101</v>
      </c>
      <c r="B45" s="351" t="s">
        <v>598</v>
      </c>
      <c r="C45" s="348" t="s">
        <v>519</v>
      </c>
      <c r="D45" s="349">
        <v>12712056.4</v>
      </c>
      <c r="E45" s="349"/>
      <c r="F45" s="349">
        <v>12712056.4</v>
      </c>
      <c r="G45" s="349">
        <v>12712056</v>
      </c>
    </row>
    <row r="46" spans="1:7" ht="42" customHeight="1">
      <c r="A46" s="354">
        <v>150101</v>
      </c>
      <c r="B46" s="351" t="s">
        <v>598</v>
      </c>
      <c r="C46" s="348" t="s">
        <v>520</v>
      </c>
      <c r="D46" s="349">
        <v>893000</v>
      </c>
      <c r="E46" s="349"/>
      <c r="F46" s="349">
        <v>893000</v>
      </c>
      <c r="G46" s="349">
        <v>893000</v>
      </c>
    </row>
    <row r="47" spans="1:7" ht="72" customHeight="1">
      <c r="A47" s="354">
        <v>150101</v>
      </c>
      <c r="B47" s="351" t="s">
        <v>598</v>
      </c>
      <c r="C47" s="348" t="s">
        <v>521</v>
      </c>
      <c r="D47" s="349">
        <v>1197000</v>
      </c>
      <c r="E47" s="349"/>
      <c r="F47" s="349">
        <v>1197000</v>
      </c>
      <c r="G47" s="349">
        <v>1197000</v>
      </c>
    </row>
    <row r="48" spans="1:7" ht="81" customHeight="1">
      <c r="A48" s="354">
        <v>150101</v>
      </c>
      <c r="B48" s="351" t="s">
        <v>598</v>
      </c>
      <c r="C48" s="348" t="s">
        <v>522</v>
      </c>
      <c r="D48" s="349">
        <v>916484</v>
      </c>
      <c r="E48" s="349"/>
      <c r="F48" s="349">
        <v>916484</v>
      </c>
      <c r="G48" s="349">
        <v>916484</v>
      </c>
    </row>
    <row r="49" spans="1:7" ht="64.5" customHeight="1">
      <c r="A49" s="354">
        <v>150101</v>
      </c>
      <c r="B49" s="351" t="s">
        <v>598</v>
      </c>
      <c r="C49" s="348" t="s">
        <v>523</v>
      </c>
      <c r="D49" s="349">
        <v>380000</v>
      </c>
      <c r="E49" s="349"/>
      <c r="F49" s="349">
        <v>380000</v>
      </c>
      <c r="G49" s="349">
        <v>380000</v>
      </c>
    </row>
    <row r="50" spans="1:7" ht="39.75" customHeight="1">
      <c r="A50" s="354">
        <v>150101</v>
      </c>
      <c r="B50" s="351" t="s">
        <v>598</v>
      </c>
      <c r="C50" s="348" t="s">
        <v>524</v>
      </c>
      <c r="D50" s="349">
        <v>13146480</v>
      </c>
      <c r="E50" s="349"/>
      <c r="F50" s="349">
        <v>13146480</v>
      </c>
      <c r="G50" s="349">
        <v>13146480</v>
      </c>
    </row>
    <row r="51" spans="1:7" ht="50.25" customHeight="1">
      <c r="A51" s="354">
        <v>150101</v>
      </c>
      <c r="B51" s="351" t="s">
        <v>598</v>
      </c>
      <c r="C51" s="348" t="s">
        <v>525</v>
      </c>
      <c r="D51" s="356"/>
      <c r="E51" s="349"/>
      <c r="F51" s="356">
        <v>1727411.18</v>
      </c>
      <c r="G51" s="356">
        <v>1727411</v>
      </c>
    </row>
    <row r="52" spans="1:7" ht="65.25" customHeight="1">
      <c r="A52" s="354">
        <v>150101</v>
      </c>
      <c r="B52" s="351" t="s">
        <v>598</v>
      </c>
      <c r="C52" s="348" t="s">
        <v>526</v>
      </c>
      <c r="D52" s="356"/>
      <c r="E52" s="349"/>
      <c r="F52" s="356">
        <v>63977.03</v>
      </c>
      <c r="G52" s="356">
        <v>63978</v>
      </c>
    </row>
    <row r="53" spans="1:7" ht="38.25" customHeight="1">
      <c r="A53" s="354">
        <v>150101</v>
      </c>
      <c r="B53" s="351" t="s">
        <v>598</v>
      </c>
      <c r="C53" s="348" t="s">
        <v>527</v>
      </c>
      <c r="D53" s="357">
        <v>376200</v>
      </c>
      <c r="E53" s="349"/>
      <c r="F53" s="356">
        <v>376200</v>
      </c>
      <c r="G53" s="356">
        <v>376200</v>
      </c>
    </row>
    <row r="54" spans="1:7" ht="65.25" customHeight="1">
      <c r="A54" s="354">
        <v>150101</v>
      </c>
      <c r="B54" s="351" t="s">
        <v>598</v>
      </c>
      <c r="C54" s="348" t="s">
        <v>528</v>
      </c>
      <c r="D54" s="357">
        <v>503500</v>
      </c>
      <c r="E54" s="349"/>
      <c r="F54" s="356">
        <v>503500</v>
      </c>
      <c r="G54" s="356">
        <v>503500</v>
      </c>
    </row>
    <row r="55" spans="1:7" ht="65.25" customHeight="1">
      <c r="A55" s="354">
        <v>150101</v>
      </c>
      <c r="B55" s="351" t="s">
        <v>598</v>
      </c>
      <c r="C55" s="348" t="s">
        <v>529</v>
      </c>
      <c r="D55" s="357">
        <v>1140000</v>
      </c>
      <c r="E55" s="349"/>
      <c r="F55" s="356">
        <v>1140000</v>
      </c>
      <c r="G55" s="356">
        <v>1140000</v>
      </c>
    </row>
    <row r="56" spans="1:7" ht="65.25" customHeight="1">
      <c r="A56" s="354">
        <v>150101</v>
      </c>
      <c r="B56" s="351" t="s">
        <v>598</v>
      </c>
      <c r="C56" s="348" t="s">
        <v>530</v>
      </c>
      <c r="D56" s="357"/>
      <c r="E56" s="349"/>
      <c r="F56" s="356">
        <v>831281</v>
      </c>
      <c r="G56" s="356">
        <v>831281</v>
      </c>
    </row>
    <row r="57" spans="1:7" ht="45.75" customHeight="1">
      <c r="A57" s="354">
        <v>150101</v>
      </c>
      <c r="B57" s="351" t="s">
        <v>598</v>
      </c>
      <c r="C57" s="348" t="s">
        <v>835</v>
      </c>
      <c r="D57" s="357">
        <v>760000</v>
      </c>
      <c r="E57" s="349"/>
      <c r="F57" s="356">
        <v>760000</v>
      </c>
      <c r="G57" s="356">
        <v>760000</v>
      </c>
    </row>
    <row r="58" spans="1:7" ht="65.25" customHeight="1">
      <c r="A58" s="354">
        <v>150101</v>
      </c>
      <c r="B58" s="351" t="s">
        <v>598</v>
      </c>
      <c r="C58" s="348" t="s">
        <v>531</v>
      </c>
      <c r="D58" s="357"/>
      <c r="E58" s="349"/>
      <c r="F58" s="356">
        <v>122360</v>
      </c>
      <c r="G58" s="356">
        <v>122360</v>
      </c>
    </row>
    <row r="59" spans="1:7" ht="65.25" customHeight="1">
      <c r="A59" s="354">
        <v>150101</v>
      </c>
      <c r="B59" s="351" t="s">
        <v>598</v>
      </c>
      <c r="C59" s="348" t="s">
        <v>532</v>
      </c>
      <c r="D59" s="356"/>
      <c r="E59" s="349"/>
      <c r="F59" s="356">
        <v>189949.08</v>
      </c>
      <c r="G59" s="356">
        <v>189949</v>
      </c>
    </row>
    <row r="60" spans="1:7" ht="65.25" customHeight="1">
      <c r="A60" s="354">
        <v>150101</v>
      </c>
      <c r="B60" s="351" t="s">
        <v>598</v>
      </c>
      <c r="C60" s="348" t="s">
        <v>533</v>
      </c>
      <c r="D60" s="356"/>
      <c r="E60" s="349"/>
      <c r="F60" s="356">
        <v>136344</v>
      </c>
      <c r="G60" s="356">
        <v>136344</v>
      </c>
    </row>
    <row r="61" spans="1:7" ht="65.25" customHeight="1">
      <c r="A61" s="354">
        <v>150101</v>
      </c>
      <c r="B61" s="351" t="s">
        <v>598</v>
      </c>
      <c r="C61" s="348" t="s">
        <v>534</v>
      </c>
      <c r="D61" s="364"/>
      <c r="E61" s="349"/>
      <c r="F61" s="356">
        <v>221046</v>
      </c>
      <c r="G61" s="356">
        <v>221046</v>
      </c>
    </row>
    <row r="62" spans="1:7" ht="86.25" customHeight="1">
      <c r="A62" s="354">
        <v>150101</v>
      </c>
      <c r="B62" s="351" t="s">
        <v>598</v>
      </c>
      <c r="C62" s="363" t="s">
        <v>535</v>
      </c>
      <c r="D62" s="356">
        <v>636300</v>
      </c>
      <c r="E62" s="349"/>
      <c r="F62" s="356">
        <v>636300</v>
      </c>
      <c r="G62" s="365">
        <v>636300</v>
      </c>
    </row>
    <row r="63" spans="1:7" ht="86.25" customHeight="1">
      <c r="A63" s="354">
        <v>150101</v>
      </c>
      <c r="B63" s="351" t="s">
        <v>598</v>
      </c>
      <c r="C63" s="363" t="s">
        <v>536</v>
      </c>
      <c r="D63" s="356">
        <v>665500</v>
      </c>
      <c r="E63" s="349"/>
      <c r="F63" s="356">
        <v>665500</v>
      </c>
      <c r="G63" s="365">
        <v>665500</v>
      </c>
    </row>
    <row r="64" spans="1:7" ht="107.25" customHeight="1">
      <c r="A64" s="354">
        <v>150101</v>
      </c>
      <c r="B64" s="351" t="s">
        <v>598</v>
      </c>
      <c r="C64" s="363" t="s">
        <v>537</v>
      </c>
      <c r="D64" s="356">
        <v>529200</v>
      </c>
      <c r="E64" s="349"/>
      <c r="F64" s="356">
        <v>529200</v>
      </c>
      <c r="G64" s="365">
        <v>529200</v>
      </c>
    </row>
    <row r="65" spans="1:7" ht="89.25" customHeight="1">
      <c r="A65" s="354">
        <v>150101</v>
      </c>
      <c r="B65" s="351" t="s">
        <v>598</v>
      </c>
      <c r="C65" s="363" t="s">
        <v>538</v>
      </c>
      <c r="D65" s="356">
        <v>441000</v>
      </c>
      <c r="E65" s="349"/>
      <c r="F65" s="356">
        <v>441000</v>
      </c>
      <c r="G65" s="365">
        <v>441000</v>
      </c>
    </row>
    <row r="66" spans="1:7" ht="89.25" customHeight="1">
      <c r="A66" s="354">
        <v>150101</v>
      </c>
      <c r="B66" s="351" t="s">
        <v>598</v>
      </c>
      <c r="C66" s="363" t="s">
        <v>539</v>
      </c>
      <c r="D66" s="356">
        <v>330600</v>
      </c>
      <c r="E66" s="349"/>
      <c r="F66" s="356">
        <v>330600</v>
      </c>
      <c r="G66" s="365">
        <v>330600</v>
      </c>
    </row>
    <row r="67" spans="1:7" ht="86.25" customHeight="1">
      <c r="A67" s="354">
        <v>150101</v>
      </c>
      <c r="B67" s="351" t="s">
        <v>598</v>
      </c>
      <c r="C67" s="363" t="s">
        <v>481</v>
      </c>
      <c r="D67" s="356">
        <v>328400</v>
      </c>
      <c r="E67" s="349"/>
      <c r="F67" s="356">
        <v>328400</v>
      </c>
      <c r="G67" s="365">
        <v>328400</v>
      </c>
    </row>
    <row r="68" spans="1:7" ht="53.25" customHeight="1" thickBot="1">
      <c r="A68" s="359">
        <v>14</v>
      </c>
      <c r="B68" s="360" t="s">
        <v>630</v>
      </c>
      <c r="C68" s="366"/>
      <c r="D68" s="362">
        <f>SUM(D69:D77)</f>
        <v>5191867.8</v>
      </c>
      <c r="E68" s="362"/>
      <c r="F68" s="362">
        <f>SUM(F69:F77)</f>
        <v>4549192.8</v>
      </c>
      <c r="G68" s="362">
        <f>SUM(G69:G77)</f>
        <v>5735568</v>
      </c>
    </row>
    <row r="69" spans="1:7" ht="49.5" customHeight="1">
      <c r="A69" s="354" t="s">
        <v>490</v>
      </c>
      <c r="B69" s="367" t="s">
        <v>651</v>
      </c>
      <c r="C69" s="348" t="s">
        <v>226</v>
      </c>
      <c r="D69" s="349">
        <v>2339280</v>
      </c>
      <c r="E69" s="349"/>
      <c r="F69" s="355">
        <v>2339280</v>
      </c>
      <c r="G69" s="349">
        <v>2339280</v>
      </c>
    </row>
    <row r="70" spans="1:7" ht="34.5" customHeight="1">
      <c r="A70" s="354">
        <v>150101</v>
      </c>
      <c r="B70" s="351" t="s">
        <v>598</v>
      </c>
      <c r="C70" s="348" t="s">
        <v>227</v>
      </c>
      <c r="D70" s="349">
        <v>547089.8</v>
      </c>
      <c r="E70" s="349"/>
      <c r="F70" s="349">
        <v>547089.8</v>
      </c>
      <c r="G70" s="349">
        <v>547090</v>
      </c>
    </row>
    <row r="71" spans="1:7" ht="90" customHeight="1">
      <c r="A71" s="354">
        <v>150101</v>
      </c>
      <c r="B71" s="351" t="s">
        <v>598</v>
      </c>
      <c r="C71" s="348" t="s">
        <v>228</v>
      </c>
      <c r="D71" s="349">
        <v>379620</v>
      </c>
      <c r="E71" s="349"/>
      <c r="F71" s="355"/>
      <c r="G71" s="349">
        <v>379620</v>
      </c>
    </row>
    <row r="72" spans="1:7" ht="55.5" customHeight="1">
      <c r="A72" s="354">
        <v>150101</v>
      </c>
      <c r="B72" s="351" t="s">
        <v>598</v>
      </c>
      <c r="C72" s="348" t="s">
        <v>229</v>
      </c>
      <c r="D72" s="349">
        <v>152000</v>
      </c>
      <c r="E72" s="349"/>
      <c r="F72" s="355"/>
      <c r="G72" s="349">
        <v>152000</v>
      </c>
    </row>
    <row r="73" spans="1:7" ht="55.5" customHeight="1">
      <c r="A73" s="354">
        <v>150101</v>
      </c>
      <c r="B73" s="351" t="s">
        <v>598</v>
      </c>
      <c r="C73" s="348" t="s">
        <v>230</v>
      </c>
      <c r="D73" s="357">
        <v>785878</v>
      </c>
      <c r="E73" s="349">
        <f>(D73-F73)/D73*100</f>
        <v>3.991586480344277</v>
      </c>
      <c r="F73" s="355">
        <v>754509</v>
      </c>
      <c r="G73" s="356">
        <v>754509</v>
      </c>
    </row>
    <row r="74" spans="1:7" ht="55.5" customHeight="1">
      <c r="A74" s="354">
        <v>150101</v>
      </c>
      <c r="B74" s="351" t="s">
        <v>598</v>
      </c>
      <c r="C74" s="348" t="s">
        <v>231</v>
      </c>
      <c r="D74" s="356">
        <v>988000</v>
      </c>
      <c r="E74" s="349">
        <f>(D74-F74)/D74*100</f>
        <v>8.065384615384616</v>
      </c>
      <c r="F74" s="355">
        <v>908314</v>
      </c>
      <c r="G74" s="356">
        <v>908314</v>
      </c>
    </row>
    <row r="75" spans="1:7" ht="73.5" customHeight="1">
      <c r="A75" s="354">
        <v>150101</v>
      </c>
      <c r="B75" s="351" t="s">
        <v>598</v>
      </c>
      <c r="C75" s="348" t="s">
        <v>232</v>
      </c>
      <c r="D75" s="357"/>
      <c r="E75" s="349"/>
      <c r="F75" s="355"/>
      <c r="G75" s="356">
        <v>31369</v>
      </c>
    </row>
    <row r="76" spans="1:7" ht="75" customHeight="1">
      <c r="A76" s="354">
        <v>150101</v>
      </c>
      <c r="B76" s="351" t="s">
        <v>598</v>
      </c>
      <c r="C76" s="348" t="s">
        <v>233</v>
      </c>
      <c r="D76" s="357"/>
      <c r="E76" s="349"/>
      <c r="F76" s="355"/>
      <c r="G76" s="356">
        <v>79686</v>
      </c>
    </row>
    <row r="77" spans="1:7" ht="109.5" customHeight="1">
      <c r="A77" s="354">
        <v>150101</v>
      </c>
      <c r="B77" s="351" t="s">
        <v>598</v>
      </c>
      <c r="C77" s="348" t="s">
        <v>234</v>
      </c>
      <c r="D77" s="357"/>
      <c r="E77" s="349"/>
      <c r="F77" s="355"/>
      <c r="G77" s="356">
        <v>543700</v>
      </c>
    </row>
    <row r="78" spans="1:7" ht="48" customHeight="1">
      <c r="A78" s="368">
        <v>48</v>
      </c>
      <c r="B78" s="369" t="s">
        <v>727</v>
      </c>
      <c r="C78" s="370"/>
      <c r="D78" s="344">
        <f>SUM(D79:D87)</f>
        <v>2403366.7800000003</v>
      </c>
      <c r="E78" s="344"/>
      <c r="F78" s="344">
        <f>SUM(F79:F87)</f>
        <v>833324.8</v>
      </c>
      <c r="G78" s="344">
        <f>SUM(G79:G87)</f>
        <v>2572146</v>
      </c>
    </row>
    <row r="79" spans="1:7" ht="57" customHeight="1">
      <c r="A79" s="371" t="s">
        <v>583</v>
      </c>
      <c r="B79" s="351" t="s">
        <v>738</v>
      </c>
      <c r="C79" s="348" t="s">
        <v>235</v>
      </c>
      <c r="D79" s="349">
        <v>671020.99</v>
      </c>
      <c r="E79" s="349">
        <f>(D79-F79)/D79*100</f>
        <v>15.054818180873895</v>
      </c>
      <c r="F79" s="355">
        <v>570000</v>
      </c>
      <c r="G79" s="349">
        <v>570000</v>
      </c>
    </row>
    <row r="80" spans="1:7" ht="69.75" customHeight="1">
      <c r="A80" s="354">
        <v>160101</v>
      </c>
      <c r="B80" s="372" t="s">
        <v>9</v>
      </c>
      <c r="C80" s="348" t="s">
        <v>236</v>
      </c>
      <c r="D80" s="349"/>
      <c r="E80" s="349"/>
      <c r="F80" s="355"/>
      <c r="G80" s="349">
        <v>38000</v>
      </c>
    </row>
    <row r="81" spans="1:7" ht="52.5" customHeight="1">
      <c r="A81" s="373">
        <v>150202</v>
      </c>
      <c r="B81" s="351" t="s">
        <v>738</v>
      </c>
      <c r="C81" s="348" t="s">
        <v>237</v>
      </c>
      <c r="D81" s="349">
        <v>380000</v>
      </c>
      <c r="E81" s="349"/>
      <c r="F81" s="355"/>
      <c r="G81" s="349">
        <v>380000</v>
      </c>
    </row>
    <row r="82" spans="1:7" ht="42" customHeight="1">
      <c r="A82" s="373">
        <v>150202</v>
      </c>
      <c r="B82" s="351" t="s">
        <v>738</v>
      </c>
      <c r="C82" s="348" t="s">
        <v>238</v>
      </c>
      <c r="D82" s="349">
        <v>760000</v>
      </c>
      <c r="E82" s="349"/>
      <c r="F82" s="355"/>
      <c r="G82" s="349">
        <v>760000</v>
      </c>
    </row>
    <row r="83" spans="1:7" ht="115.5" customHeight="1">
      <c r="A83" s="373">
        <v>250500</v>
      </c>
      <c r="B83" s="351" t="s">
        <v>239</v>
      </c>
      <c r="C83" s="374" t="s">
        <v>240</v>
      </c>
      <c r="D83" s="349"/>
      <c r="E83" s="349"/>
      <c r="F83" s="355"/>
      <c r="G83" s="349">
        <v>342000</v>
      </c>
    </row>
    <row r="84" spans="1:7" ht="58.5" customHeight="1">
      <c r="A84" s="373">
        <v>150202</v>
      </c>
      <c r="B84" s="351" t="s">
        <v>738</v>
      </c>
      <c r="C84" s="348" t="s">
        <v>241</v>
      </c>
      <c r="D84" s="357">
        <v>377324.8</v>
      </c>
      <c r="E84" s="349">
        <f>(D84-F84)/D84*100</f>
        <v>30.212697389622946</v>
      </c>
      <c r="F84" s="355">
        <v>263324.8</v>
      </c>
      <c r="G84" s="356">
        <v>263325</v>
      </c>
    </row>
    <row r="85" spans="1:7" ht="64.5" customHeight="1">
      <c r="A85" s="371" t="s">
        <v>583</v>
      </c>
      <c r="B85" s="351" t="s">
        <v>738</v>
      </c>
      <c r="C85" s="348" t="s">
        <v>242</v>
      </c>
      <c r="D85" s="357">
        <v>101020.99</v>
      </c>
      <c r="E85" s="349"/>
      <c r="F85" s="355"/>
      <c r="G85" s="356">
        <v>101021</v>
      </c>
    </row>
    <row r="86" spans="1:7" ht="64.5" customHeight="1">
      <c r="A86" s="354">
        <v>160101</v>
      </c>
      <c r="B86" s="372" t="s">
        <v>9</v>
      </c>
      <c r="C86" s="348" t="s">
        <v>243</v>
      </c>
      <c r="D86" s="357"/>
      <c r="E86" s="349"/>
      <c r="F86" s="355"/>
      <c r="G86" s="356">
        <v>3800</v>
      </c>
    </row>
    <row r="87" spans="1:7" ht="64.5" customHeight="1">
      <c r="A87" s="373">
        <v>150202</v>
      </c>
      <c r="B87" s="351" t="s">
        <v>738</v>
      </c>
      <c r="C87" s="348" t="s">
        <v>244</v>
      </c>
      <c r="D87" s="357">
        <v>114000</v>
      </c>
      <c r="E87" s="349"/>
      <c r="F87" s="355"/>
      <c r="G87" s="356">
        <v>114000</v>
      </c>
    </row>
    <row r="88" spans="1:7" ht="51.75" customHeight="1">
      <c r="A88" s="375" t="s">
        <v>245</v>
      </c>
      <c r="B88" s="369" t="s">
        <v>105</v>
      </c>
      <c r="C88" s="370"/>
      <c r="D88" s="376">
        <f>SUM(D89:D107)</f>
        <v>32657288.08</v>
      </c>
      <c r="E88" s="376"/>
      <c r="F88" s="376">
        <f>SUM(F89:F107)</f>
        <v>34457329.08</v>
      </c>
      <c r="G88" s="376">
        <f>SUM(G89:G107)</f>
        <v>15400884</v>
      </c>
    </row>
    <row r="89" spans="1:7" ht="57" customHeight="1">
      <c r="A89" s="354">
        <v>150101</v>
      </c>
      <c r="B89" s="351" t="s">
        <v>598</v>
      </c>
      <c r="C89" s="348" t="s">
        <v>246</v>
      </c>
      <c r="D89" s="349">
        <v>988000</v>
      </c>
      <c r="E89" s="349"/>
      <c r="F89" s="349">
        <v>988000</v>
      </c>
      <c r="G89" s="349">
        <v>988000</v>
      </c>
    </row>
    <row r="90" spans="1:7" ht="45" customHeight="1">
      <c r="A90" s="354">
        <v>150101</v>
      </c>
      <c r="B90" s="351" t="s">
        <v>598</v>
      </c>
      <c r="C90" s="348" t="s">
        <v>247</v>
      </c>
      <c r="D90" s="349">
        <v>114000</v>
      </c>
      <c r="E90" s="349"/>
      <c r="F90" s="349">
        <v>114000</v>
      </c>
      <c r="G90" s="349">
        <v>114000</v>
      </c>
    </row>
    <row r="91" spans="1:7" ht="42.75" customHeight="1">
      <c r="A91" s="354">
        <v>150101</v>
      </c>
      <c r="B91" s="351" t="s">
        <v>598</v>
      </c>
      <c r="C91" s="348" t="s">
        <v>248</v>
      </c>
      <c r="D91" s="349">
        <v>951520</v>
      </c>
      <c r="E91" s="349"/>
      <c r="F91" s="349">
        <v>951520</v>
      </c>
      <c r="G91" s="349">
        <v>951520</v>
      </c>
    </row>
    <row r="92" spans="1:7" ht="44.25" customHeight="1">
      <c r="A92" s="354">
        <v>150101</v>
      </c>
      <c r="B92" s="351" t="s">
        <v>598</v>
      </c>
      <c r="C92" s="348" t="s">
        <v>249</v>
      </c>
      <c r="D92" s="349">
        <v>3420000</v>
      </c>
      <c r="E92" s="349"/>
      <c r="F92" s="349">
        <v>3420000</v>
      </c>
      <c r="G92" s="349">
        <v>3420000</v>
      </c>
    </row>
    <row r="93" spans="1:7" ht="45" customHeight="1">
      <c r="A93" s="354">
        <v>150101</v>
      </c>
      <c r="B93" s="351" t="s">
        <v>598</v>
      </c>
      <c r="C93" s="377" t="s">
        <v>250</v>
      </c>
      <c r="D93" s="349">
        <v>19000000</v>
      </c>
      <c r="E93" s="349"/>
      <c r="F93" s="349">
        <v>19000000</v>
      </c>
      <c r="G93" s="349">
        <v>1900000</v>
      </c>
    </row>
    <row r="94" spans="1:7" ht="50.25" customHeight="1">
      <c r="A94" s="354">
        <v>150101</v>
      </c>
      <c r="B94" s="351" t="s">
        <v>598</v>
      </c>
      <c r="C94" s="378" t="s">
        <v>251</v>
      </c>
      <c r="D94" s="349">
        <v>418000</v>
      </c>
      <c r="E94" s="349"/>
      <c r="F94" s="349">
        <v>418000</v>
      </c>
      <c r="G94" s="349">
        <v>418000</v>
      </c>
    </row>
    <row r="95" spans="1:7" ht="48.75" customHeight="1">
      <c r="A95" s="354">
        <v>150101</v>
      </c>
      <c r="B95" s="351" t="s">
        <v>598</v>
      </c>
      <c r="C95" s="378" t="s">
        <v>252</v>
      </c>
      <c r="D95" s="349">
        <v>51300</v>
      </c>
      <c r="E95" s="349"/>
      <c r="F95" s="349">
        <v>51300</v>
      </c>
      <c r="G95" s="349">
        <v>51300</v>
      </c>
    </row>
    <row r="96" spans="1:7" ht="39.75" customHeight="1">
      <c r="A96" s="354">
        <v>150101</v>
      </c>
      <c r="B96" s="351" t="s">
        <v>598</v>
      </c>
      <c r="C96" s="377" t="s">
        <v>253</v>
      </c>
      <c r="D96" s="349">
        <v>1900000</v>
      </c>
      <c r="E96" s="349"/>
      <c r="F96" s="349">
        <v>1900000</v>
      </c>
      <c r="G96" s="349">
        <v>1900000</v>
      </c>
    </row>
    <row r="97" spans="1:7" ht="48.75" customHeight="1">
      <c r="A97" s="354">
        <v>150101</v>
      </c>
      <c r="B97" s="351" t="s">
        <v>598</v>
      </c>
      <c r="C97" s="378" t="s">
        <v>254</v>
      </c>
      <c r="D97" s="349">
        <v>298680</v>
      </c>
      <c r="E97" s="349"/>
      <c r="F97" s="349">
        <v>298680</v>
      </c>
      <c r="G97" s="349">
        <v>298680</v>
      </c>
    </row>
    <row r="98" spans="1:7" ht="39.75" customHeight="1">
      <c r="A98" s="354">
        <v>150101</v>
      </c>
      <c r="B98" s="351" t="s">
        <v>598</v>
      </c>
      <c r="C98" s="378" t="s">
        <v>255</v>
      </c>
      <c r="D98" s="349">
        <v>57000</v>
      </c>
      <c r="E98" s="349"/>
      <c r="F98" s="349">
        <v>57000</v>
      </c>
      <c r="G98" s="349">
        <v>57000</v>
      </c>
    </row>
    <row r="99" spans="1:7" ht="39.75" customHeight="1">
      <c r="A99" s="354">
        <v>150101</v>
      </c>
      <c r="B99" s="351" t="s">
        <v>598</v>
      </c>
      <c r="C99" s="377" t="s">
        <v>256</v>
      </c>
      <c r="D99" s="349">
        <v>171000</v>
      </c>
      <c r="E99" s="349"/>
      <c r="F99" s="349">
        <v>171000</v>
      </c>
      <c r="G99" s="349">
        <v>171000</v>
      </c>
    </row>
    <row r="100" spans="1:7" ht="51.75" customHeight="1">
      <c r="A100" s="354">
        <v>150101</v>
      </c>
      <c r="B100" s="351" t="s">
        <v>598</v>
      </c>
      <c r="C100" s="348" t="s">
        <v>257</v>
      </c>
      <c r="D100" s="357">
        <v>1098307.08</v>
      </c>
      <c r="E100" s="349"/>
      <c r="F100" s="357">
        <v>1098307.08</v>
      </c>
      <c r="G100" s="356">
        <v>785616</v>
      </c>
    </row>
    <row r="101" spans="1:7" ht="39.75" customHeight="1">
      <c r="A101" s="354">
        <v>150101</v>
      </c>
      <c r="B101" s="351" t="s">
        <v>598</v>
      </c>
      <c r="C101" s="348" t="s">
        <v>258</v>
      </c>
      <c r="D101" s="357">
        <v>434340</v>
      </c>
      <c r="E101" s="349"/>
      <c r="F101" s="357">
        <v>434340</v>
      </c>
      <c r="G101" s="356">
        <v>434340</v>
      </c>
    </row>
    <row r="102" spans="1:7" ht="39.75" customHeight="1">
      <c r="A102" s="354">
        <v>150101</v>
      </c>
      <c r="B102" s="351" t="s">
        <v>598</v>
      </c>
      <c r="C102" s="348" t="s">
        <v>259</v>
      </c>
      <c r="D102" s="357">
        <v>760000</v>
      </c>
      <c r="E102" s="349"/>
      <c r="F102" s="357">
        <v>760000</v>
      </c>
      <c r="G102" s="356">
        <f>760000-46100</f>
        <v>713900</v>
      </c>
    </row>
    <row r="103" spans="1:7" ht="39.75" customHeight="1">
      <c r="A103" s="354">
        <v>150101</v>
      </c>
      <c r="B103" s="351" t="s">
        <v>598</v>
      </c>
      <c r="C103" s="348" t="s">
        <v>260</v>
      </c>
      <c r="D103" s="357">
        <v>1800041</v>
      </c>
      <c r="E103" s="349"/>
      <c r="F103" s="357">
        <v>1800041</v>
      </c>
      <c r="G103" s="356">
        <v>1800041</v>
      </c>
    </row>
    <row r="104" spans="1:7" ht="39.75" customHeight="1">
      <c r="A104" s="354">
        <v>150101</v>
      </c>
      <c r="B104" s="351" t="s">
        <v>598</v>
      </c>
      <c r="C104" s="348" t="s">
        <v>249</v>
      </c>
      <c r="D104" s="357">
        <v>962084</v>
      </c>
      <c r="E104" s="349"/>
      <c r="F104" s="357">
        <v>962084</v>
      </c>
      <c r="G104" s="356">
        <v>962084</v>
      </c>
    </row>
    <row r="105" spans="1:7" ht="39.75" customHeight="1">
      <c r="A105" s="354">
        <v>150101</v>
      </c>
      <c r="B105" s="351" t="s">
        <v>598</v>
      </c>
      <c r="C105" s="348" t="s">
        <v>261</v>
      </c>
      <c r="D105" s="357">
        <v>233016</v>
      </c>
      <c r="E105" s="349"/>
      <c r="F105" s="357">
        <v>233016</v>
      </c>
      <c r="G105" s="356">
        <v>233016</v>
      </c>
    </row>
    <row r="106" spans="1:7" ht="39.75" customHeight="1">
      <c r="A106" s="354">
        <v>150101</v>
      </c>
      <c r="B106" s="351" t="s">
        <v>598</v>
      </c>
      <c r="C106" s="348" t="s">
        <v>262</v>
      </c>
      <c r="D106" s="357"/>
      <c r="E106" s="349"/>
      <c r="F106" s="357"/>
      <c r="G106" s="356">
        <v>46100</v>
      </c>
    </row>
    <row r="107" spans="1:7" ht="66.75" customHeight="1">
      <c r="A107" s="354">
        <v>150101</v>
      </c>
      <c r="B107" s="351" t="s">
        <v>598</v>
      </c>
      <c r="C107" s="348" t="s">
        <v>263</v>
      </c>
      <c r="D107" s="357"/>
      <c r="E107" s="349"/>
      <c r="F107" s="357">
        <v>1800041</v>
      </c>
      <c r="G107" s="356">
        <v>156287</v>
      </c>
    </row>
    <row r="108" spans="1:7" ht="59.25" customHeight="1">
      <c r="A108" s="368">
        <v>24</v>
      </c>
      <c r="B108" s="369" t="s">
        <v>645</v>
      </c>
      <c r="C108" s="370"/>
      <c r="D108" s="376">
        <f>SUM(D109:D112)</f>
        <v>755440</v>
      </c>
      <c r="E108" s="376"/>
      <c r="F108" s="376">
        <f>SUM(F109:F112)</f>
        <v>1103140</v>
      </c>
      <c r="G108" s="376">
        <f>SUM(G109:G112)</f>
        <v>1103140</v>
      </c>
    </row>
    <row r="109" spans="1:7" ht="42.75" customHeight="1">
      <c r="A109" s="354">
        <v>150101</v>
      </c>
      <c r="B109" s="351" t="s">
        <v>598</v>
      </c>
      <c r="C109" s="348" t="s">
        <v>264</v>
      </c>
      <c r="D109" s="349">
        <v>76000</v>
      </c>
      <c r="E109" s="349"/>
      <c r="F109" s="349">
        <v>76000</v>
      </c>
      <c r="G109" s="349">
        <v>76000</v>
      </c>
    </row>
    <row r="110" spans="1:7" ht="42.75" customHeight="1">
      <c r="A110" s="354">
        <v>150101</v>
      </c>
      <c r="B110" s="351" t="s">
        <v>598</v>
      </c>
      <c r="C110" s="348" t="s">
        <v>265</v>
      </c>
      <c r="D110" s="349">
        <v>565440</v>
      </c>
      <c r="E110" s="349"/>
      <c r="F110" s="349">
        <v>565440</v>
      </c>
      <c r="G110" s="349">
        <v>565440</v>
      </c>
    </row>
    <row r="111" spans="1:7" ht="46.5" customHeight="1">
      <c r="A111" s="354">
        <v>150101</v>
      </c>
      <c r="B111" s="351" t="s">
        <v>598</v>
      </c>
      <c r="C111" s="348" t="s">
        <v>266</v>
      </c>
      <c r="D111" s="349">
        <v>114000</v>
      </c>
      <c r="E111" s="349"/>
      <c r="F111" s="349">
        <v>114000</v>
      </c>
      <c r="G111" s="349">
        <v>114000</v>
      </c>
    </row>
    <row r="112" spans="1:7" ht="85.5" customHeight="1">
      <c r="A112" s="379">
        <v>150101</v>
      </c>
      <c r="B112" s="351" t="s">
        <v>598</v>
      </c>
      <c r="C112" s="348" t="s">
        <v>267</v>
      </c>
      <c r="D112" s="357"/>
      <c r="E112" s="349"/>
      <c r="F112" s="356">
        <v>347700</v>
      </c>
      <c r="G112" s="356">
        <v>347700</v>
      </c>
    </row>
    <row r="113" spans="1:7" ht="63" customHeight="1">
      <c r="A113" s="375" t="s">
        <v>268</v>
      </c>
      <c r="B113" s="369" t="s">
        <v>597</v>
      </c>
      <c r="C113" s="370"/>
      <c r="D113" s="376">
        <f>SUM(D114:D116)</f>
        <v>532000</v>
      </c>
      <c r="E113" s="376"/>
      <c r="F113" s="376">
        <f>SUM(F114:F116)</f>
        <v>532000</v>
      </c>
      <c r="G113" s="376">
        <f>SUM(G114:G116)</f>
        <v>532000</v>
      </c>
    </row>
    <row r="114" spans="1:7" ht="37.5" customHeight="1">
      <c r="A114" s="380">
        <v>150101</v>
      </c>
      <c r="B114" s="351" t="s">
        <v>598</v>
      </c>
      <c r="C114" s="381" t="s">
        <v>269</v>
      </c>
      <c r="D114" s="349">
        <v>448400</v>
      </c>
      <c r="E114" s="349"/>
      <c r="F114" s="349">
        <v>448400</v>
      </c>
      <c r="G114" s="349">
        <v>448400</v>
      </c>
    </row>
    <row r="115" spans="1:7" ht="28.5" customHeight="1">
      <c r="A115" s="380">
        <v>150101</v>
      </c>
      <c r="B115" s="351" t="s">
        <v>598</v>
      </c>
      <c r="C115" s="381" t="s">
        <v>270</v>
      </c>
      <c r="D115" s="349">
        <v>30400</v>
      </c>
      <c r="E115" s="349"/>
      <c r="F115" s="349">
        <v>30400</v>
      </c>
      <c r="G115" s="349">
        <v>30400</v>
      </c>
    </row>
    <row r="116" spans="1:7" ht="27" customHeight="1">
      <c r="A116" s="380">
        <v>150101</v>
      </c>
      <c r="B116" s="351" t="s">
        <v>598</v>
      </c>
      <c r="C116" s="381" t="s">
        <v>271</v>
      </c>
      <c r="D116" s="349">
        <v>53200</v>
      </c>
      <c r="E116" s="349"/>
      <c r="F116" s="349">
        <v>53200</v>
      </c>
      <c r="G116" s="349">
        <v>53200</v>
      </c>
    </row>
    <row r="117" spans="1:7" ht="64.5" customHeight="1">
      <c r="A117" s="375" t="s">
        <v>272</v>
      </c>
      <c r="B117" s="369" t="s">
        <v>408</v>
      </c>
      <c r="C117" s="382"/>
      <c r="D117" s="376">
        <f>SUM(D118:D122)</f>
        <v>11450400</v>
      </c>
      <c r="E117" s="376"/>
      <c r="F117" s="376">
        <f>SUM(F118:F122)</f>
        <v>11450400</v>
      </c>
      <c r="G117" s="376">
        <f>SUM(G118:G122)</f>
        <v>11450400</v>
      </c>
    </row>
    <row r="118" spans="1:7" ht="53.25" customHeight="1">
      <c r="A118" s="371" t="s">
        <v>584</v>
      </c>
      <c r="B118" s="351" t="s">
        <v>598</v>
      </c>
      <c r="C118" s="348" t="s">
        <v>273</v>
      </c>
      <c r="D118" s="349">
        <v>235600</v>
      </c>
      <c r="E118" s="349"/>
      <c r="F118" s="349">
        <v>235600</v>
      </c>
      <c r="G118" s="349">
        <v>235600</v>
      </c>
    </row>
    <row r="119" spans="1:7" ht="93.75" customHeight="1">
      <c r="A119" s="371" t="s">
        <v>584</v>
      </c>
      <c r="B119" s="351" t="s">
        <v>598</v>
      </c>
      <c r="C119" s="348" t="s">
        <v>274</v>
      </c>
      <c r="D119" s="349">
        <v>98800</v>
      </c>
      <c r="E119" s="349"/>
      <c r="F119" s="349">
        <v>98800</v>
      </c>
      <c r="G119" s="349">
        <v>98800</v>
      </c>
    </row>
    <row r="120" spans="1:7" ht="42.75" customHeight="1">
      <c r="A120" s="371" t="s">
        <v>584</v>
      </c>
      <c r="B120" s="351" t="s">
        <v>598</v>
      </c>
      <c r="C120" s="348" t="s">
        <v>275</v>
      </c>
      <c r="D120" s="349">
        <v>456000</v>
      </c>
      <c r="E120" s="349"/>
      <c r="F120" s="349">
        <v>456000</v>
      </c>
      <c r="G120" s="349">
        <v>456000</v>
      </c>
    </row>
    <row r="121" spans="1:7" ht="42.75" customHeight="1">
      <c r="A121" s="371" t="s">
        <v>584</v>
      </c>
      <c r="B121" s="351" t="s">
        <v>598</v>
      </c>
      <c r="C121" s="348" t="s">
        <v>0</v>
      </c>
      <c r="D121" s="357">
        <v>2660000</v>
      </c>
      <c r="E121" s="349"/>
      <c r="F121" s="357">
        <v>2660000</v>
      </c>
      <c r="G121" s="349">
        <v>2660000</v>
      </c>
    </row>
    <row r="122" spans="1:7" ht="234" customHeight="1">
      <c r="A122" s="371" t="s">
        <v>671</v>
      </c>
      <c r="B122" s="378" t="s">
        <v>82</v>
      </c>
      <c r="C122" s="378" t="s">
        <v>83</v>
      </c>
      <c r="D122" s="357">
        <v>8000000</v>
      </c>
      <c r="E122" s="349"/>
      <c r="F122" s="357">
        <v>8000000</v>
      </c>
      <c r="G122" s="349">
        <v>8000000</v>
      </c>
    </row>
    <row r="123" spans="1:7" ht="42.75" customHeight="1">
      <c r="A123" s="375" t="s">
        <v>381</v>
      </c>
      <c r="B123" s="369" t="s">
        <v>644</v>
      </c>
      <c r="C123" s="383"/>
      <c r="D123" s="344">
        <f>SUM(D124)</f>
        <v>237100</v>
      </c>
      <c r="E123" s="344"/>
      <c r="F123" s="344">
        <f>SUM(F124)</f>
        <v>237100</v>
      </c>
      <c r="G123" s="344">
        <f>SUM(G124)</f>
        <v>237100</v>
      </c>
    </row>
    <row r="124" spans="1:7" ht="42.75" customHeight="1">
      <c r="A124" s="371" t="s">
        <v>449</v>
      </c>
      <c r="B124" s="384" t="s">
        <v>706</v>
      </c>
      <c r="C124" s="348" t="s">
        <v>1</v>
      </c>
      <c r="D124" s="349">
        <v>237100</v>
      </c>
      <c r="E124" s="349"/>
      <c r="F124" s="349">
        <v>237100</v>
      </c>
      <c r="G124" s="349">
        <v>237100</v>
      </c>
    </row>
    <row r="125" spans="1:7" ht="51.75" customHeight="1">
      <c r="A125" s="385" t="s">
        <v>2</v>
      </c>
      <c r="B125" s="386" t="s">
        <v>126</v>
      </c>
      <c r="C125" s="387"/>
      <c r="D125" s="376">
        <f>SUM(D126)</f>
        <v>55000</v>
      </c>
      <c r="E125" s="376"/>
      <c r="F125" s="376">
        <f>SUM(F126)</f>
        <v>55000</v>
      </c>
      <c r="G125" s="376">
        <f>SUM(G126)</f>
        <v>55000</v>
      </c>
    </row>
    <row r="126" spans="1:7" ht="42.75" customHeight="1">
      <c r="A126" s="371" t="s">
        <v>449</v>
      </c>
      <c r="B126" s="384" t="s">
        <v>706</v>
      </c>
      <c r="C126" s="348" t="s">
        <v>1</v>
      </c>
      <c r="D126" s="349">
        <v>55000</v>
      </c>
      <c r="E126" s="349"/>
      <c r="F126" s="349">
        <v>55000</v>
      </c>
      <c r="G126" s="349">
        <v>55000</v>
      </c>
    </row>
    <row r="127" spans="1:8" ht="42.75" customHeight="1">
      <c r="A127" s="388"/>
      <c r="B127" s="368" t="s">
        <v>704</v>
      </c>
      <c r="C127" s="389"/>
      <c r="D127" s="390">
        <f>D12+D37+D68+D78+D88+D108+D113+D117</f>
        <v>452546913.05999994</v>
      </c>
      <c r="E127" s="390"/>
      <c r="F127" s="390">
        <f>SUM(F12+F37+F68+F78+F88+F108)</f>
        <v>328909629.18</v>
      </c>
      <c r="G127" s="390">
        <f>SUM(G12+G37+G68+G78+G88+G108+G113+G117+G124+G126)</f>
        <v>260121626</v>
      </c>
      <c r="H127" s="391"/>
    </row>
    <row r="128" spans="1:7" s="395" customFormat="1" ht="27.75" customHeight="1">
      <c r="A128" s="325"/>
      <c r="B128" s="392"/>
      <c r="C128" s="325"/>
      <c r="D128" s="393"/>
      <c r="E128" s="394"/>
      <c r="F128" s="394"/>
      <c r="G128" s="393"/>
    </row>
    <row r="129" spans="1:7" ht="19.5">
      <c r="A129" s="395"/>
      <c r="B129" s="396"/>
      <c r="C129" s="395"/>
      <c r="G129" s="397"/>
    </row>
    <row r="130" spans="1:7" s="395" customFormat="1" ht="21">
      <c r="A130" s="325"/>
      <c r="B130" s="392"/>
      <c r="C130" s="325"/>
      <c r="D130" s="398"/>
      <c r="F130" s="399"/>
      <c r="G130" s="400"/>
    </row>
    <row r="131" spans="2:7" ht="19.5">
      <c r="B131" s="396"/>
      <c r="F131" s="401"/>
      <c r="G131" s="402"/>
    </row>
    <row r="132" spans="1:7" ht="21">
      <c r="A132" s="403"/>
      <c r="B132" s="404"/>
      <c r="C132" s="405"/>
      <c r="D132" s="405"/>
      <c r="E132" s="405"/>
      <c r="F132" s="405"/>
      <c r="G132" s="405"/>
    </row>
    <row r="133" spans="1:7" ht="21">
      <c r="A133" s="403"/>
      <c r="B133" s="404"/>
      <c r="C133" s="405"/>
      <c r="D133" s="405"/>
      <c r="E133" s="405"/>
      <c r="F133" s="405"/>
      <c r="G133" s="405"/>
    </row>
    <row r="134" ht="19.5">
      <c r="B134" s="396"/>
    </row>
    <row r="135" ht="19.5">
      <c r="B135" s="396"/>
    </row>
    <row r="136" ht="19.5">
      <c r="B136" s="396"/>
    </row>
    <row r="137" ht="19.5">
      <c r="B137" s="396"/>
    </row>
    <row r="138" ht="19.5">
      <c r="B138" s="396"/>
    </row>
    <row r="139" ht="19.5">
      <c r="B139" s="396"/>
    </row>
    <row r="140" ht="19.5">
      <c r="B140" s="396"/>
    </row>
    <row r="141" ht="19.5">
      <c r="B141" s="396"/>
    </row>
    <row r="142" ht="19.5">
      <c r="B142" s="396"/>
    </row>
    <row r="143" ht="19.5">
      <c r="B143" s="396"/>
    </row>
    <row r="144" ht="19.5">
      <c r="B144" s="396"/>
    </row>
    <row r="145" ht="19.5">
      <c r="B145" s="396"/>
    </row>
    <row r="146" ht="19.5">
      <c r="B146" s="396"/>
    </row>
    <row r="147" ht="19.5">
      <c r="B147" s="396"/>
    </row>
    <row r="148" ht="19.5">
      <c r="B148" s="396"/>
    </row>
    <row r="149" ht="19.5">
      <c r="B149" s="396"/>
    </row>
    <row r="150" ht="19.5">
      <c r="B150" s="396"/>
    </row>
    <row r="151" ht="19.5">
      <c r="B151" s="396"/>
    </row>
    <row r="152" ht="19.5">
      <c r="B152" s="396"/>
    </row>
    <row r="153" ht="19.5">
      <c r="B153" s="396"/>
    </row>
    <row r="154" ht="19.5">
      <c r="B154" s="396"/>
    </row>
    <row r="155" ht="19.5">
      <c r="B155" s="396"/>
    </row>
    <row r="156" ht="19.5">
      <c r="B156" s="396"/>
    </row>
    <row r="157" ht="19.5">
      <c r="B157" s="396"/>
    </row>
    <row r="158" ht="19.5">
      <c r="B158" s="396"/>
    </row>
    <row r="159" ht="19.5">
      <c r="B159" s="396"/>
    </row>
    <row r="160" ht="19.5">
      <c r="B160" s="396"/>
    </row>
    <row r="161" ht="19.5">
      <c r="B161" s="396"/>
    </row>
    <row r="162" ht="19.5">
      <c r="B162" s="396"/>
    </row>
    <row r="163" ht="19.5">
      <c r="B163" s="396"/>
    </row>
    <row r="164" ht="19.5">
      <c r="B164" s="396"/>
    </row>
    <row r="165" ht="19.5">
      <c r="B165" s="396"/>
    </row>
  </sheetData>
  <mergeCells count="7">
    <mergeCell ref="A6:G6"/>
    <mergeCell ref="A7:G7"/>
    <mergeCell ref="C9:C10"/>
    <mergeCell ref="D9:D10"/>
    <mergeCell ref="E9:E10"/>
    <mergeCell ref="F9:F10"/>
    <mergeCell ref="G9:G10"/>
  </mergeCells>
  <printOptions/>
  <pageMargins left="0.75" right="0.75" top="1" bottom="1" header="0.5" footer="0.5"/>
  <pageSetup horizontalDpi="600" verticalDpi="600" orientation="portrait" paperSize="9" scale="29" r:id="rId1"/>
</worksheet>
</file>

<file path=xl/worksheets/sheet7.xml><?xml version="1.0" encoding="utf-8"?>
<worksheet xmlns="http://schemas.openxmlformats.org/spreadsheetml/2006/main" xmlns:r="http://schemas.openxmlformats.org/officeDocument/2006/relationships">
  <dimension ref="A1:J148"/>
  <sheetViews>
    <sheetView view="pageBreakPreview" zoomScale="60" zoomScaleNormal="50" workbookViewId="0" topLeftCell="D137">
      <selection activeCell="D144" sqref="D144"/>
    </sheetView>
  </sheetViews>
  <sheetFormatPr defaultColWidth="9.140625" defaultRowHeight="12.75"/>
  <cols>
    <col min="1" max="1" width="41.140625" style="208" customWidth="1"/>
    <col min="2" max="2" width="149.00390625" style="208" customWidth="1"/>
    <col min="3" max="3" width="126.57421875" style="208" customWidth="1"/>
    <col min="4" max="4" width="65.8515625" style="209" customWidth="1"/>
    <col min="5" max="5" width="123.140625" style="208" customWidth="1"/>
    <col min="6" max="6" width="55.28125" style="211" customWidth="1"/>
    <col min="7" max="7" width="73.140625" style="209" customWidth="1"/>
    <col min="8" max="8" width="50.8515625" style="208" customWidth="1"/>
    <col min="9" max="9" width="29.00390625" style="208" customWidth="1"/>
    <col min="10" max="10" width="18.57421875" style="208" customWidth="1"/>
    <col min="11" max="16384" width="9.140625" style="208" customWidth="1"/>
  </cols>
  <sheetData>
    <row r="1" ht="35.25">
      <c r="E1" s="210" t="s">
        <v>96</v>
      </c>
    </row>
    <row r="2" ht="35.25">
      <c r="E2" s="210" t="s">
        <v>35</v>
      </c>
    </row>
    <row r="3" ht="35.25">
      <c r="E3" s="210" t="s">
        <v>97</v>
      </c>
    </row>
    <row r="4" spans="5:7" ht="38.25">
      <c r="E4" s="210" t="s">
        <v>604</v>
      </c>
      <c r="F4" s="212"/>
      <c r="G4" s="212"/>
    </row>
    <row r="5" spans="5:7" ht="38.25">
      <c r="E5" s="557" t="s">
        <v>26</v>
      </c>
      <c r="F5" s="213"/>
      <c r="G5" s="212"/>
    </row>
    <row r="6" spans="8:10" ht="35.25">
      <c r="H6" s="210"/>
      <c r="I6" s="210"/>
      <c r="J6" s="210"/>
    </row>
    <row r="7" spans="2:5" ht="35.25">
      <c r="B7" s="541" t="s">
        <v>98</v>
      </c>
      <c r="C7" s="542"/>
      <c r="D7" s="542"/>
      <c r="E7" s="542"/>
    </row>
    <row r="8" ht="35.25" thickBot="1">
      <c r="G8" s="209" t="s">
        <v>346</v>
      </c>
    </row>
    <row r="9" spans="1:7" ht="207" customHeight="1" thickBot="1">
      <c r="A9" s="126" t="s">
        <v>99</v>
      </c>
      <c r="B9" s="126" t="s">
        <v>100</v>
      </c>
      <c r="C9" s="543" t="s">
        <v>842</v>
      </c>
      <c r="D9" s="543"/>
      <c r="E9" s="543" t="s">
        <v>844</v>
      </c>
      <c r="F9" s="543"/>
      <c r="G9" s="214" t="s">
        <v>704</v>
      </c>
    </row>
    <row r="10" spans="1:7" ht="208.5" customHeight="1" thickBot="1">
      <c r="A10" s="126" t="s">
        <v>101</v>
      </c>
      <c r="B10" s="126" t="s">
        <v>102</v>
      </c>
      <c r="C10" s="126" t="s">
        <v>103</v>
      </c>
      <c r="D10" s="215" t="s">
        <v>104</v>
      </c>
      <c r="E10" s="126" t="s">
        <v>103</v>
      </c>
      <c r="F10" s="215" t="s">
        <v>104</v>
      </c>
      <c r="G10" s="215" t="s">
        <v>104</v>
      </c>
    </row>
    <row r="11" spans="1:9" ht="66" customHeight="1" thickBot="1">
      <c r="A11" s="216">
        <v>10</v>
      </c>
      <c r="B11" s="217" t="s">
        <v>105</v>
      </c>
      <c r="C11" s="218"/>
      <c r="D11" s="219">
        <f>SUM(D12:D25)</f>
        <v>11652835</v>
      </c>
      <c r="E11" s="219"/>
      <c r="F11" s="220">
        <f>SUM(F12:F25)</f>
        <v>22928314</v>
      </c>
      <c r="G11" s="220">
        <f>SUM(D11+F11)</f>
        <v>34581149</v>
      </c>
      <c r="H11" s="221"/>
      <c r="I11" s="221"/>
    </row>
    <row r="12" spans="1:8" ht="42.75" customHeight="1">
      <c r="A12" s="222" t="s">
        <v>106</v>
      </c>
      <c r="B12" s="223" t="s">
        <v>436</v>
      </c>
      <c r="C12" s="544" t="s">
        <v>391</v>
      </c>
      <c r="D12" s="225">
        <v>524020</v>
      </c>
      <c r="E12" s="225"/>
      <c r="F12" s="133"/>
      <c r="G12" s="226">
        <f>SUM(D12+F12)</f>
        <v>524020</v>
      </c>
      <c r="H12" s="227"/>
    </row>
    <row r="13" spans="1:7" ht="191.25" customHeight="1">
      <c r="A13" s="222" t="s">
        <v>392</v>
      </c>
      <c r="B13" s="223" t="s">
        <v>149</v>
      </c>
      <c r="C13" s="544"/>
      <c r="D13" s="225">
        <v>535040</v>
      </c>
      <c r="E13" s="225"/>
      <c r="F13" s="225"/>
      <c r="G13" s="228">
        <f aca="true" t="shared" si="0" ref="G13:G25">SUM(D13+F13)</f>
        <v>535040</v>
      </c>
    </row>
    <row r="14" spans="1:7" ht="154.5" customHeight="1">
      <c r="A14" s="222" t="s">
        <v>150</v>
      </c>
      <c r="B14" s="156" t="s">
        <v>151</v>
      </c>
      <c r="C14" s="545" t="s">
        <v>152</v>
      </c>
      <c r="D14" s="225">
        <v>201780</v>
      </c>
      <c r="E14" s="225"/>
      <c r="F14" s="225"/>
      <c r="G14" s="228">
        <f t="shared" si="0"/>
        <v>201780</v>
      </c>
    </row>
    <row r="15" spans="1:7" ht="189.75" customHeight="1">
      <c r="A15" s="222" t="s">
        <v>392</v>
      </c>
      <c r="B15" s="223" t="s">
        <v>149</v>
      </c>
      <c r="C15" s="545"/>
      <c r="D15" s="225">
        <v>491196</v>
      </c>
      <c r="E15" s="225"/>
      <c r="F15" s="225"/>
      <c r="G15" s="228">
        <f t="shared" si="0"/>
        <v>491196</v>
      </c>
    </row>
    <row r="16" spans="1:7" ht="149.25" customHeight="1">
      <c r="A16" s="222" t="s">
        <v>153</v>
      </c>
      <c r="B16" s="223" t="s">
        <v>154</v>
      </c>
      <c r="C16" s="156" t="s">
        <v>155</v>
      </c>
      <c r="D16" s="225">
        <v>30780</v>
      </c>
      <c r="E16" s="229"/>
      <c r="F16" s="225"/>
      <c r="G16" s="228">
        <f t="shared" si="0"/>
        <v>30780</v>
      </c>
    </row>
    <row r="17" spans="1:7" ht="121.5" customHeight="1">
      <c r="A17" s="222">
        <v>240900</v>
      </c>
      <c r="B17" s="196" t="s">
        <v>762</v>
      </c>
      <c r="C17" s="156"/>
      <c r="D17" s="225"/>
      <c r="E17" s="229" t="s">
        <v>155</v>
      </c>
      <c r="F17" s="225">
        <f>742522-7600</f>
        <v>734922</v>
      </c>
      <c r="G17" s="228">
        <f t="shared" si="0"/>
        <v>734922</v>
      </c>
    </row>
    <row r="18" spans="1:7" ht="163.5" customHeight="1">
      <c r="A18" s="222">
        <v>130107</v>
      </c>
      <c r="B18" s="224" t="s">
        <v>156</v>
      </c>
      <c r="C18" s="222" t="s">
        <v>157</v>
      </c>
      <c r="D18" s="230">
        <f>5913719+3937300</f>
        <v>9851019</v>
      </c>
      <c r="E18" s="230"/>
      <c r="F18" s="231"/>
      <c r="G18" s="228">
        <f t="shared" si="0"/>
        <v>9851019</v>
      </c>
    </row>
    <row r="19" spans="1:7" ht="178.5" customHeight="1">
      <c r="A19" s="545">
        <v>240900</v>
      </c>
      <c r="B19" s="544" t="s">
        <v>762</v>
      </c>
      <c r="C19" s="224"/>
      <c r="D19" s="230"/>
      <c r="E19" s="230" t="s">
        <v>158</v>
      </c>
      <c r="F19" s="231">
        <f>7362374+7600</f>
        <v>7369974</v>
      </c>
      <c r="G19" s="232">
        <f>SUM(F19)</f>
        <v>7369974</v>
      </c>
    </row>
    <row r="20" spans="1:7" ht="219" customHeight="1">
      <c r="A20" s="545"/>
      <c r="B20" s="544"/>
      <c r="C20" s="224"/>
      <c r="D20" s="230"/>
      <c r="E20" s="225" t="s">
        <v>159</v>
      </c>
      <c r="F20" s="231">
        <f>114000-30000</f>
        <v>84000</v>
      </c>
      <c r="G20" s="232">
        <f>SUM(F20)</f>
        <v>84000</v>
      </c>
    </row>
    <row r="21" spans="1:7" ht="178.5" customHeight="1">
      <c r="A21" s="545"/>
      <c r="B21" s="544"/>
      <c r="C21" s="224"/>
      <c r="D21" s="230"/>
      <c r="E21" s="138" t="s">
        <v>160</v>
      </c>
      <c r="F21" s="231">
        <v>170241</v>
      </c>
      <c r="G21" s="232">
        <f>SUM(F21)</f>
        <v>170241</v>
      </c>
    </row>
    <row r="22" spans="1:7" ht="222" customHeight="1">
      <c r="A22" s="222">
        <v>210107</v>
      </c>
      <c r="B22" s="233" t="s">
        <v>578</v>
      </c>
      <c r="C22" s="222" t="s">
        <v>485</v>
      </c>
      <c r="D22" s="230">
        <v>19000</v>
      </c>
      <c r="E22" s="230"/>
      <c r="F22" s="231"/>
      <c r="G22" s="232">
        <f>SUM(D22+F22)</f>
        <v>19000</v>
      </c>
    </row>
    <row r="23" spans="1:7" ht="147" customHeight="1">
      <c r="A23" s="544">
        <v>150101</v>
      </c>
      <c r="B23" s="544" t="s">
        <v>598</v>
      </c>
      <c r="C23" s="222"/>
      <c r="D23" s="230"/>
      <c r="E23" s="229" t="s">
        <v>155</v>
      </c>
      <c r="F23" s="231">
        <v>355680</v>
      </c>
      <c r="G23" s="232">
        <f>SUM(F23)</f>
        <v>355680</v>
      </c>
    </row>
    <row r="24" spans="1:7" ht="147" customHeight="1">
      <c r="A24" s="544"/>
      <c r="B24" s="544"/>
      <c r="C24" s="222"/>
      <c r="D24" s="230"/>
      <c r="E24" s="230" t="s">
        <v>158</v>
      </c>
      <c r="F24" s="231">
        <v>14103301</v>
      </c>
      <c r="G24" s="232">
        <f>SUM(F24)</f>
        <v>14103301</v>
      </c>
    </row>
    <row r="25" spans="1:7" ht="139.5" customHeight="1" thickBot="1">
      <c r="A25" s="222">
        <v>240601</v>
      </c>
      <c r="B25" s="224" t="s">
        <v>445</v>
      </c>
      <c r="C25" s="222"/>
      <c r="D25" s="230"/>
      <c r="E25" s="230" t="s">
        <v>486</v>
      </c>
      <c r="F25" s="231">
        <v>110196</v>
      </c>
      <c r="G25" s="232">
        <f t="shared" si="0"/>
        <v>110196</v>
      </c>
    </row>
    <row r="26" spans="1:8" ht="69" customHeight="1">
      <c r="A26" s="234">
        <v>14</v>
      </c>
      <c r="B26" s="235" t="s">
        <v>487</v>
      </c>
      <c r="C26" s="236"/>
      <c r="D26" s="237">
        <f>SUM(D27:D44)</f>
        <v>12534253</v>
      </c>
      <c r="E26" s="237"/>
      <c r="F26" s="219">
        <f>SUM(F27:F44)</f>
        <v>3769084</v>
      </c>
      <c r="G26" s="219">
        <f>SUM(D26+F26)</f>
        <v>16303337</v>
      </c>
      <c r="H26" s="221"/>
    </row>
    <row r="27" spans="1:7" ht="35.25" customHeight="1">
      <c r="A27" s="222" t="s">
        <v>488</v>
      </c>
      <c r="B27" s="143" t="s">
        <v>279</v>
      </c>
      <c r="C27" s="545" t="s">
        <v>160</v>
      </c>
      <c r="D27" s="225">
        <f>6784520-2483066</f>
        <v>4301454</v>
      </c>
      <c r="E27" s="230"/>
      <c r="F27" s="238"/>
      <c r="G27" s="230">
        <f aca="true" t="shared" si="1" ref="G27:G44">SUM(D27+F27)</f>
        <v>4301454</v>
      </c>
    </row>
    <row r="28" spans="1:7" ht="38.25" customHeight="1">
      <c r="A28" s="222" t="s">
        <v>489</v>
      </c>
      <c r="B28" s="143" t="s">
        <v>585</v>
      </c>
      <c r="C28" s="545"/>
      <c r="D28" s="225">
        <f>1227400-224878</f>
        <v>1002522</v>
      </c>
      <c r="E28" s="230"/>
      <c r="F28" s="230"/>
      <c r="G28" s="230">
        <f t="shared" si="1"/>
        <v>1002522</v>
      </c>
    </row>
    <row r="29" spans="1:7" ht="41.25" customHeight="1">
      <c r="A29" s="222" t="s">
        <v>490</v>
      </c>
      <c r="B29" s="143" t="s">
        <v>651</v>
      </c>
      <c r="C29" s="545"/>
      <c r="D29" s="225">
        <f>558600</f>
        <v>558600</v>
      </c>
      <c r="E29" s="230"/>
      <c r="F29" s="230"/>
      <c r="G29" s="230">
        <f t="shared" si="1"/>
        <v>558600</v>
      </c>
    </row>
    <row r="30" spans="1:7" ht="72" customHeight="1">
      <c r="A30" s="222" t="s">
        <v>491</v>
      </c>
      <c r="B30" s="143" t="s">
        <v>442</v>
      </c>
      <c r="C30" s="545"/>
      <c r="D30" s="225">
        <f>1435260-904154</f>
        <v>531106</v>
      </c>
      <c r="E30" s="230"/>
      <c r="F30" s="230"/>
      <c r="G30" s="230">
        <f t="shared" si="1"/>
        <v>531106</v>
      </c>
    </row>
    <row r="31" spans="1:7" ht="75" customHeight="1">
      <c r="A31" s="222" t="s">
        <v>492</v>
      </c>
      <c r="B31" s="143" t="s">
        <v>444</v>
      </c>
      <c r="C31" s="545"/>
      <c r="D31" s="225">
        <f>379620-365422</f>
        <v>14198</v>
      </c>
      <c r="E31" s="230"/>
      <c r="F31" s="230"/>
      <c r="G31" s="230">
        <f t="shared" si="1"/>
        <v>14198</v>
      </c>
    </row>
    <row r="32" spans="1:7" ht="62.25" customHeight="1">
      <c r="A32" s="222" t="s">
        <v>493</v>
      </c>
      <c r="B32" s="143" t="s">
        <v>443</v>
      </c>
      <c r="C32" s="545"/>
      <c r="D32" s="225">
        <f>105260-37000</f>
        <v>68260</v>
      </c>
      <c r="E32" s="230"/>
      <c r="F32" s="230"/>
      <c r="G32" s="230">
        <f t="shared" si="1"/>
        <v>68260</v>
      </c>
    </row>
    <row r="33" spans="1:7" ht="69.75" customHeight="1">
      <c r="A33" s="239" t="s">
        <v>494</v>
      </c>
      <c r="B33" s="240" t="s">
        <v>364</v>
      </c>
      <c r="C33" s="545"/>
      <c r="D33" s="225">
        <f>121220-121220</f>
        <v>0</v>
      </c>
      <c r="E33" s="230"/>
      <c r="F33" s="230"/>
      <c r="G33" s="230">
        <f t="shared" si="1"/>
        <v>0</v>
      </c>
    </row>
    <row r="34" spans="1:7" ht="46.5" customHeight="1">
      <c r="A34" s="222" t="s">
        <v>495</v>
      </c>
      <c r="B34" s="143" t="s">
        <v>361</v>
      </c>
      <c r="C34" s="545"/>
      <c r="D34" s="225">
        <v>889201</v>
      </c>
      <c r="E34" s="230"/>
      <c r="F34" s="230"/>
      <c r="G34" s="230">
        <f t="shared" si="1"/>
        <v>889201</v>
      </c>
    </row>
    <row r="35" spans="1:7" ht="72" customHeight="1">
      <c r="A35" s="222" t="s">
        <v>496</v>
      </c>
      <c r="B35" s="143" t="s">
        <v>737</v>
      </c>
      <c r="C35" s="545"/>
      <c r="D35" s="225">
        <f>2514460+600000</f>
        <v>3114460</v>
      </c>
      <c r="E35" s="230"/>
      <c r="F35" s="230"/>
      <c r="G35" s="230">
        <f t="shared" si="1"/>
        <v>3114460</v>
      </c>
    </row>
    <row r="36" spans="1:7" ht="108.75" customHeight="1">
      <c r="A36" s="222" t="s">
        <v>497</v>
      </c>
      <c r="B36" s="241" t="s">
        <v>576</v>
      </c>
      <c r="C36" s="545"/>
      <c r="D36" s="225">
        <f>1520-1520</f>
        <v>0</v>
      </c>
      <c r="E36" s="230"/>
      <c r="F36" s="230"/>
      <c r="G36" s="230">
        <f t="shared" si="1"/>
        <v>0</v>
      </c>
    </row>
    <row r="37" spans="1:7" ht="69" customHeight="1">
      <c r="A37" s="222" t="s">
        <v>498</v>
      </c>
      <c r="B37" s="167" t="s">
        <v>280</v>
      </c>
      <c r="C37" s="545"/>
      <c r="D37" s="225">
        <f>1557480+314000</f>
        <v>1871480</v>
      </c>
      <c r="E37" s="230"/>
      <c r="F37" s="230"/>
      <c r="G37" s="230">
        <f t="shared" si="1"/>
        <v>1871480</v>
      </c>
    </row>
    <row r="38" spans="1:7" ht="127.5" customHeight="1">
      <c r="A38" s="222" t="s">
        <v>495</v>
      </c>
      <c r="B38" s="143" t="s">
        <v>361</v>
      </c>
      <c r="C38" s="222" t="s">
        <v>499</v>
      </c>
      <c r="D38" s="225">
        <v>162259</v>
      </c>
      <c r="E38" s="230"/>
      <c r="F38" s="230"/>
      <c r="G38" s="230">
        <f t="shared" si="1"/>
        <v>162259</v>
      </c>
    </row>
    <row r="39" spans="1:7" ht="180" customHeight="1">
      <c r="A39" s="222" t="s">
        <v>488</v>
      </c>
      <c r="B39" s="143" t="s">
        <v>279</v>
      </c>
      <c r="C39" s="222" t="s">
        <v>500</v>
      </c>
      <c r="D39" s="225">
        <f>158460-137747</f>
        <v>20713</v>
      </c>
      <c r="E39" s="230"/>
      <c r="F39" s="230"/>
      <c r="G39" s="230">
        <f t="shared" si="1"/>
        <v>20713</v>
      </c>
    </row>
    <row r="40" spans="1:7" ht="202.5" customHeight="1">
      <c r="A40" s="545">
        <v>240900</v>
      </c>
      <c r="B40" s="544" t="s">
        <v>762</v>
      </c>
      <c r="C40" s="222"/>
      <c r="D40" s="225"/>
      <c r="E40" s="225" t="s">
        <v>159</v>
      </c>
      <c r="F40" s="230">
        <f>123500-20191</f>
        <v>103309</v>
      </c>
      <c r="G40" s="230">
        <f>SUM(F40)</f>
        <v>103309</v>
      </c>
    </row>
    <row r="41" spans="1:7" ht="144" customHeight="1">
      <c r="A41" s="545"/>
      <c r="B41" s="544"/>
      <c r="C41" s="222"/>
      <c r="D41" s="225"/>
      <c r="E41" s="138" t="s">
        <v>160</v>
      </c>
      <c r="F41" s="230">
        <v>2146265</v>
      </c>
      <c r="G41" s="230">
        <f>SUM(F41)</f>
        <v>2146265</v>
      </c>
    </row>
    <row r="42" spans="1:7" ht="183" customHeight="1">
      <c r="A42" s="545"/>
      <c r="B42" s="544"/>
      <c r="C42" s="222"/>
      <c r="D42" s="225"/>
      <c r="E42" s="230" t="s">
        <v>500</v>
      </c>
      <c r="F42" s="230">
        <v>592800</v>
      </c>
      <c r="G42" s="230">
        <f>SUM(F42)</f>
        <v>592800</v>
      </c>
    </row>
    <row r="43" spans="1:7" ht="183" customHeight="1">
      <c r="A43" s="156">
        <v>150101</v>
      </c>
      <c r="B43" s="156" t="s">
        <v>598</v>
      </c>
      <c r="C43" s="222"/>
      <c r="D43" s="225"/>
      <c r="E43" s="138" t="s">
        <v>160</v>
      </c>
      <c r="F43" s="230">
        <f>2852588-1925878</f>
        <v>926710</v>
      </c>
      <c r="G43" s="230">
        <f>SUM(F43)</f>
        <v>926710</v>
      </c>
    </row>
    <row r="44" spans="1:7" ht="195" customHeight="1">
      <c r="A44" s="222">
        <v>210107</v>
      </c>
      <c r="B44" s="233" t="s">
        <v>578</v>
      </c>
      <c r="C44" s="222" t="s">
        <v>485</v>
      </c>
      <c r="D44" s="225">
        <f>76000-76000</f>
        <v>0</v>
      </c>
      <c r="E44" s="230"/>
      <c r="F44" s="230"/>
      <c r="G44" s="230">
        <f t="shared" si="1"/>
        <v>0</v>
      </c>
    </row>
    <row r="45" spans="1:8" ht="75.75" customHeight="1">
      <c r="A45" s="242">
        <v>21</v>
      </c>
      <c r="B45" s="243" t="s">
        <v>597</v>
      </c>
      <c r="C45" s="244"/>
      <c r="D45" s="245">
        <f>SUM(D46:D48)</f>
        <v>601920</v>
      </c>
      <c r="E45" s="245"/>
      <c r="F45" s="245">
        <f>SUM(F46:F51)</f>
        <v>115507</v>
      </c>
      <c r="G45" s="245">
        <f>SUM(D45+F45)</f>
        <v>717427</v>
      </c>
      <c r="H45" s="246"/>
    </row>
    <row r="46" spans="1:7" ht="65.25" customHeight="1">
      <c r="A46" s="222">
        <v>110204</v>
      </c>
      <c r="B46" s="143" t="s">
        <v>410</v>
      </c>
      <c r="C46" s="546" t="s">
        <v>168</v>
      </c>
      <c r="D46" s="230">
        <v>441560</v>
      </c>
      <c r="E46" s="230"/>
      <c r="F46" s="230"/>
      <c r="G46" s="230">
        <f aca="true" t="shared" si="2" ref="G46:G91">SUM(D46+F46)</f>
        <v>441560</v>
      </c>
    </row>
    <row r="47" spans="1:7" ht="101.25" customHeight="1">
      <c r="A47" s="222">
        <v>110502</v>
      </c>
      <c r="B47" s="143" t="s">
        <v>702</v>
      </c>
      <c r="C47" s="547"/>
      <c r="D47" s="230">
        <v>146091</v>
      </c>
      <c r="E47" s="230"/>
      <c r="F47" s="230"/>
      <c r="G47" s="230">
        <f t="shared" si="2"/>
        <v>146091</v>
      </c>
    </row>
    <row r="48" spans="1:7" ht="163.5" customHeight="1">
      <c r="A48" s="549">
        <v>130102</v>
      </c>
      <c r="B48" s="545" t="s">
        <v>169</v>
      </c>
      <c r="C48" s="548"/>
      <c r="D48" s="550">
        <v>14269</v>
      </c>
      <c r="E48" s="550"/>
      <c r="F48" s="550"/>
      <c r="G48" s="550">
        <f>D48+F48</f>
        <v>14269</v>
      </c>
    </row>
    <row r="49" spans="1:7" ht="183" customHeight="1" hidden="1">
      <c r="A49" s="549"/>
      <c r="B49" s="545"/>
      <c r="C49" s="156"/>
      <c r="D49" s="550"/>
      <c r="E49" s="550"/>
      <c r="F49" s="550"/>
      <c r="G49" s="550"/>
    </row>
    <row r="50" spans="1:7" ht="196.5" customHeight="1">
      <c r="A50" s="545">
        <v>240900</v>
      </c>
      <c r="B50" s="544" t="s">
        <v>762</v>
      </c>
      <c r="C50" s="156"/>
      <c r="D50" s="230"/>
      <c r="E50" s="229" t="s">
        <v>168</v>
      </c>
      <c r="F50" s="230">
        <v>89612</v>
      </c>
      <c r="G50" s="230">
        <f>SUM(F50)</f>
        <v>89612</v>
      </c>
    </row>
    <row r="51" spans="1:7" ht="208.5" customHeight="1">
      <c r="A51" s="545"/>
      <c r="B51" s="544"/>
      <c r="C51" s="224"/>
      <c r="D51" s="230"/>
      <c r="E51" s="225" t="s">
        <v>159</v>
      </c>
      <c r="F51" s="230">
        <f>76000-50105</f>
        <v>25895</v>
      </c>
      <c r="G51" s="230">
        <f>SUM(F51)</f>
        <v>25895</v>
      </c>
    </row>
    <row r="52" spans="1:8" ht="83.25" customHeight="1">
      <c r="A52" s="242">
        <v>15</v>
      </c>
      <c r="B52" s="243" t="s">
        <v>170</v>
      </c>
      <c r="C52" s="244"/>
      <c r="D52" s="245">
        <f>SUM(D53:D60)</f>
        <v>27652686</v>
      </c>
      <c r="E52" s="245"/>
      <c r="F52" s="245">
        <f>SUM(F61:F63)</f>
        <v>1029057</v>
      </c>
      <c r="G52" s="245">
        <f t="shared" si="2"/>
        <v>28681743</v>
      </c>
      <c r="H52" s="246"/>
    </row>
    <row r="53" spans="1:7" ht="172.5" customHeight="1">
      <c r="A53" s="222" t="s">
        <v>171</v>
      </c>
      <c r="B53" s="240" t="s">
        <v>646</v>
      </c>
      <c r="C53" s="222" t="s">
        <v>172</v>
      </c>
      <c r="D53" s="230">
        <f>14057010+9169400</f>
        <v>23226410</v>
      </c>
      <c r="E53" s="230" t="s">
        <v>172</v>
      </c>
      <c r="F53" s="230">
        <v>79800</v>
      </c>
      <c r="G53" s="230">
        <f t="shared" si="2"/>
        <v>23306210</v>
      </c>
    </row>
    <row r="54" spans="1:7" ht="36" customHeight="1">
      <c r="A54" s="222" t="s">
        <v>343</v>
      </c>
      <c r="B54" s="143" t="s">
        <v>632</v>
      </c>
      <c r="C54" s="544" t="s">
        <v>500</v>
      </c>
      <c r="D54" s="225">
        <f>1644903+161253</f>
        <v>1806156</v>
      </c>
      <c r="E54" s="230"/>
      <c r="F54" s="230"/>
      <c r="G54" s="230">
        <f t="shared" si="2"/>
        <v>1806156</v>
      </c>
    </row>
    <row r="55" spans="1:7" ht="83.25" customHeight="1">
      <c r="A55" s="222" t="s">
        <v>171</v>
      </c>
      <c r="B55" s="240" t="s">
        <v>646</v>
      </c>
      <c r="C55" s="544"/>
      <c r="D55" s="225">
        <v>83220</v>
      </c>
      <c r="E55" s="230"/>
      <c r="F55" s="230"/>
      <c r="G55" s="230">
        <f t="shared" si="2"/>
        <v>83220</v>
      </c>
    </row>
    <row r="56" spans="1:7" ht="181.5" customHeight="1">
      <c r="A56" s="247" t="s">
        <v>173</v>
      </c>
      <c r="B56" s="196" t="s">
        <v>761</v>
      </c>
      <c r="C56" s="544"/>
      <c r="D56" s="225">
        <v>2026920</v>
      </c>
      <c r="E56" s="230"/>
      <c r="F56" s="230"/>
      <c r="G56" s="230">
        <f t="shared" si="2"/>
        <v>2026920</v>
      </c>
    </row>
    <row r="57" spans="1:7" ht="186" customHeight="1">
      <c r="A57" s="222" t="s">
        <v>662</v>
      </c>
      <c r="B57" s="156" t="s">
        <v>174</v>
      </c>
      <c r="C57" s="544"/>
      <c r="D57" s="225">
        <v>3420</v>
      </c>
      <c r="E57" s="230"/>
      <c r="F57" s="230"/>
      <c r="G57" s="230">
        <f t="shared" si="2"/>
        <v>3420</v>
      </c>
    </row>
    <row r="58" spans="1:7" ht="160.5" customHeight="1">
      <c r="A58" s="222" t="s">
        <v>150</v>
      </c>
      <c r="B58" s="156" t="s">
        <v>151</v>
      </c>
      <c r="C58" s="544"/>
      <c r="D58" s="225">
        <f>45220-45200</f>
        <v>20</v>
      </c>
      <c r="E58" s="230"/>
      <c r="F58" s="230"/>
      <c r="G58" s="230">
        <f t="shared" si="2"/>
        <v>20</v>
      </c>
    </row>
    <row r="59" spans="1:7" ht="73.5" customHeight="1">
      <c r="A59" s="222">
        <v>110502</v>
      </c>
      <c r="B59" s="156" t="s">
        <v>702</v>
      </c>
      <c r="C59" s="544"/>
      <c r="D59" s="225">
        <v>20900</v>
      </c>
      <c r="E59" s="230"/>
      <c r="F59" s="230"/>
      <c r="G59" s="230">
        <f t="shared" si="2"/>
        <v>20900</v>
      </c>
    </row>
    <row r="60" spans="1:7" ht="67.5" customHeight="1">
      <c r="A60" s="222" t="s">
        <v>175</v>
      </c>
      <c r="B60" s="143" t="s">
        <v>599</v>
      </c>
      <c r="C60" s="544"/>
      <c r="D60" s="230">
        <v>485640</v>
      </c>
      <c r="E60" s="230"/>
      <c r="F60" s="230"/>
      <c r="G60" s="230">
        <f t="shared" si="2"/>
        <v>485640</v>
      </c>
    </row>
    <row r="61" spans="1:7" ht="243" customHeight="1">
      <c r="A61" s="545">
        <v>240900</v>
      </c>
      <c r="B61" s="544" t="s">
        <v>762</v>
      </c>
      <c r="C61" s="224"/>
      <c r="D61" s="230"/>
      <c r="E61" s="225" t="s">
        <v>159</v>
      </c>
      <c r="F61" s="230">
        <f>448020-200000</f>
        <v>248020</v>
      </c>
      <c r="G61" s="230">
        <f>SUM(F61)</f>
        <v>248020</v>
      </c>
    </row>
    <row r="62" spans="1:7" ht="207" customHeight="1">
      <c r="A62" s="545"/>
      <c r="B62" s="544"/>
      <c r="C62" s="224"/>
      <c r="D62" s="230"/>
      <c r="E62" s="230" t="s">
        <v>172</v>
      </c>
      <c r="F62" s="230">
        <v>759384</v>
      </c>
      <c r="G62" s="230">
        <f>SUM(F62)</f>
        <v>759384</v>
      </c>
    </row>
    <row r="63" spans="1:7" ht="207" customHeight="1">
      <c r="A63" s="545"/>
      <c r="B63" s="544"/>
      <c r="C63" s="224"/>
      <c r="D63" s="230"/>
      <c r="E63" s="229" t="s">
        <v>500</v>
      </c>
      <c r="F63" s="230">
        <v>21653</v>
      </c>
      <c r="G63" s="230">
        <f>SUM(F63)</f>
        <v>21653</v>
      </c>
    </row>
    <row r="64" spans="1:8" ht="84.75" customHeight="1">
      <c r="A64" s="242">
        <v>11</v>
      </c>
      <c r="B64" s="243" t="s">
        <v>38</v>
      </c>
      <c r="C64" s="244"/>
      <c r="D64" s="245">
        <f>SUM(D65:D69)</f>
        <v>5211353</v>
      </c>
      <c r="E64" s="248"/>
      <c r="F64" s="245">
        <f>SUM(F70:F71)</f>
        <v>160100</v>
      </c>
      <c r="G64" s="245">
        <f t="shared" si="2"/>
        <v>5371453</v>
      </c>
      <c r="H64" s="246"/>
    </row>
    <row r="65" spans="1:7" ht="66" customHeight="1">
      <c r="A65" s="222" t="s">
        <v>176</v>
      </c>
      <c r="B65" s="143" t="s">
        <v>541</v>
      </c>
      <c r="C65" s="545" t="s">
        <v>152</v>
      </c>
      <c r="D65" s="230">
        <f>259399-120000</f>
        <v>139399</v>
      </c>
      <c r="E65" s="249"/>
      <c r="F65" s="230"/>
      <c r="G65" s="230">
        <f t="shared" si="2"/>
        <v>139399</v>
      </c>
    </row>
    <row r="66" spans="1:7" ht="34.5" customHeight="1">
      <c r="A66" s="222" t="s">
        <v>177</v>
      </c>
      <c r="B66" s="143" t="s">
        <v>178</v>
      </c>
      <c r="C66" s="545"/>
      <c r="D66" s="230">
        <f>176320-24000</f>
        <v>152320</v>
      </c>
      <c r="E66" s="249"/>
      <c r="F66" s="230"/>
      <c r="G66" s="230">
        <f t="shared" si="2"/>
        <v>152320</v>
      </c>
    </row>
    <row r="67" spans="1:7" ht="140.25" customHeight="1">
      <c r="A67" s="222" t="s">
        <v>150</v>
      </c>
      <c r="B67" s="240" t="s">
        <v>151</v>
      </c>
      <c r="C67" s="545"/>
      <c r="D67" s="230">
        <f>380000-380000</f>
        <v>0</v>
      </c>
      <c r="E67" s="249"/>
      <c r="F67" s="230"/>
      <c r="G67" s="230">
        <f t="shared" si="2"/>
        <v>0</v>
      </c>
    </row>
    <row r="68" spans="1:7" ht="32.25" customHeight="1">
      <c r="A68" s="222">
        <v>180410</v>
      </c>
      <c r="B68" s="224" t="s">
        <v>322</v>
      </c>
      <c r="C68" s="545"/>
      <c r="D68" s="230">
        <f>345420-105500</f>
        <v>239920</v>
      </c>
      <c r="E68" s="249"/>
      <c r="F68" s="230"/>
      <c r="G68" s="230">
        <f t="shared" si="2"/>
        <v>239920</v>
      </c>
    </row>
    <row r="69" spans="1:7" ht="124.5" customHeight="1">
      <c r="A69" s="222" t="s">
        <v>179</v>
      </c>
      <c r="B69" s="143" t="s">
        <v>36</v>
      </c>
      <c r="C69" s="222" t="s">
        <v>180</v>
      </c>
      <c r="D69" s="225">
        <f>3065214+1614500</f>
        <v>4679714</v>
      </c>
      <c r="E69" s="249"/>
      <c r="F69" s="230"/>
      <c r="G69" s="230">
        <f t="shared" si="2"/>
        <v>4679714</v>
      </c>
    </row>
    <row r="70" spans="1:7" ht="124.5" customHeight="1">
      <c r="A70" s="546">
        <v>240900</v>
      </c>
      <c r="B70" s="546" t="s">
        <v>762</v>
      </c>
      <c r="C70" s="222"/>
      <c r="D70" s="225"/>
      <c r="E70" s="229" t="s">
        <v>155</v>
      </c>
      <c r="F70" s="230">
        <f>177460-20900-6460</f>
        <v>150100</v>
      </c>
      <c r="G70" s="230">
        <f>SUM(F70)</f>
        <v>150100</v>
      </c>
    </row>
    <row r="71" spans="1:7" ht="212.25" customHeight="1">
      <c r="A71" s="548"/>
      <c r="B71" s="548"/>
      <c r="C71" s="222"/>
      <c r="D71" s="225"/>
      <c r="E71" s="225" t="s">
        <v>159</v>
      </c>
      <c r="F71" s="230">
        <v>10000</v>
      </c>
      <c r="G71" s="230">
        <f>SUM(F71)</f>
        <v>10000</v>
      </c>
    </row>
    <row r="72" spans="1:8" ht="58.5" customHeight="1">
      <c r="A72" s="242">
        <v>24</v>
      </c>
      <c r="B72" s="250" t="s">
        <v>645</v>
      </c>
      <c r="C72" s="244"/>
      <c r="D72" s="245">
        <f>SUM(D73:D79)</f>
        <v>18726359</v>
      </c>
      <c r="E72" s="251"/>
      <c r="F72" s="245">
        <f>SUM(F73:F80)</f>
        <v>2722372</v>
      </c>
      <c r="G72" s="245">
        <f>SUM(G73:G80)</f>
        <v>21448731</v>
      </c>
      <c r="H72" s="246"/>
    </row>
    <row r="73" spans="1:7" ht="36" customHeight="1">
      <c r="A73" s="224">
        <v>110205</v>
      </c>
      <c r="B73" s="156" t="s">
        <v>701</v>
      </c>
      <c r="C73" s="551" t="s">
        <v>425</v>
      </c>
      <c r="D73" s="252"/>
      <c r="E73" s="550" t="s">
        <v>425</v>
      </c>
      <c r="F73" s="225">
        <v>27740</v>
      </c>
      <c r="G73" s="230">
        <f t="shared" si="2"/>
        <v>27740</v>
      </c>
    </row>
    <row r="74" spans="1:7" ht="33" customHeight="1">
      <c r="A74" s="224">
        <v>110202</v>
      </c>
      <c r="B74" s="156" t="s">
        <v>378</v>
      </c>
      <c r="C74" s="552"/>
      <c r="D74" s="252"/>
      <c r="E74" s="550"/>
      <c r="F74" s="225">
        <v>157700</v>
      </c>
      <c r="G74" s="230">
        <f t="shared" si="2"/>
        <v>157700</v>
      </c>
    </row>
    <row r="75" spans="1:7" ht="31.5" customHeight="1">
      <c r="A75" s="224">
        <v>110201</v>
      </c>
      <c r="B75" s="156" t="s">
        <v>377</v>
      </c>
      <c r="C75" s="552"/>
      <c r="D75" s="225">
        <f>10374113+5543340</f>
        <v>15917453</v>
      </c>
      <c r="E75" s="550"/>
      <c r="F75" s="225">
        <v>51300</v>
      </c>
      <c r="G75" s="230">
        <f t="shared" si="2"/>
        <v>15968753</v>
      </c>
    </row>
    <row r="76" spans="1:7" ht="30" customHeight="1">
      <c r="A76" s="222">
        <v>110502</v>
      </c>
      <c r="B76" s="143" t="s">
        <v>702</v>
      </c>
      <c r="C76" s="552"/>
      <c r="D76" s="225">
        <f>1870906-50000</f>
        <v>1820906</v>
      </c>
      <c r="E76" s="550"/>
      <c r="F76" s="230"/>
      <c r="G76" s="230">
        <f t="shared" si="2"/>
        <v>1820906</v>
      </c>
    </row>
    <row r="77" spans="1:7" ht="30" customHeight="1">
      <c r="A77" s="222">
        <v>110102</v>
      </c>
      <c r="B77" s="143" t="s">
        <v>376</v>
      </c>
      <c r="C77" s="553"/>
      <c r="D77" s="225">
        <v>988000</v>
      </c>
      <c r="E77" s="230"/>
      <c r="F77" s="230"/>
      <c r="G77" s="230">
        <f>SUM(D77)</f>
        <v>988000</v>
      </c>
    </row>
    <row r="78" spans="1:7" ht="30" customHeight="1">
      <c r="A78" s="224">
        <v>150101</v>
      </c>
      <c r="B78" s="156" t="s">
        <v>598</v>
      </c>
      <c r="C78" s="222"/>
      <c r="D78" s="225"/>
      <c r="E78" s="550" t="s">
        <v>425</v>
      </c>
      <c r="F78" s="230">
        <f>423700+679440</f>
        <v>1103140</v>
      </c>
      <c r="G78" s="230">
        <f>SUM(F78)</f>
        <v>1103140</v>
      </c>
    </row>
    <row r="79" spans="1:7" ht="129.75" customHeight="1">
      <c r="A79" s="546">
        <v>240900</v>
      </c>
      <c r="B79" s="546" t="s">
        <v>762</v>
      </c>
      <c r="C79" s="224"/>
      <c r="D79" s="225"/>
      <c r="E79" s="550"/>
      <c r="F79" s="230">
        <v>1342492</v>
      </c>
      <c r="G79" s="230">
        <f t="shared" si="2"/>
        <v>1342492</v>
      </c>
    </row>
    <row r="80" spans="1:7" ht="218.25" customHeight="1">
      <c r="A80" s="548"/>
      <c r="B80" s="548"/>
      <c r="C80" s="224"/>
      <c r="D80" s="225"/>
      <c r="E80" s="225" t="s">
        <v>159</v>
      </c>
      <c r="F80" s="230">
        <v>40000</v>
      </c>
      <c r="G80" s="230">
        <f>SUM(F80)</f>
        <v>40000</v>
      </c>
    </row>
    <row r="81" spans="1:8" ht="57.75" customHeight="1">
      <c r="A81" s="242">
        <v>20</v>
      </c>
      <c r="B81" s="243" t="s">
        <v>426</v>
      </c>
      <c r="C81" s="244"/>
      <c r="D81" s="245">
        <f>SUM(D82:D83)</f>
        <v>82882.65</v>
      </c>
      <c r="E81" s="245"/>
      <c r="F81" s="245">
        <f>SUM(F82:F83)</f>
        <v>0</v>
      </c>
      <c r="G81" s="245">
        <f t="shared" si="2"/>
        <v>82882.65</v>
      </c>
      <c r="H81" s="246"/>
    </row>
    <row r="82" spans="1:7" ht="107.25" customHeight="1">
      <c r="A82" s="222" t="s">
        <v>612</v>
      </c>
      <c r="B82" s="143" t="s">
        <v>611</v>
      </c>
      <c r="C82" s="545" t="s">
        <v>152</v>
      </c>
      <c r="D82" s="230">
        <f>222680-176657.35</f>
        <v>46022.649999999994</v>
      </c>
      <c r="E82" s="230"/>
      <c r="F82" s="230"/>
      <c r="G82" s="230">
        <f t="shared" si="2"/>
        <v>46022.649999999994</v>
      </c>
    </row>
    <row r="83" spans="1:7" ht="88.5" customHeight="1">
      <c r="A83" s="222" t="s">
        <v>176</v>
      </c>
      <c r="B83" s="143" t="s">
        <v>541</v>
      </c>
      <c r="C83" s="545"/>
      <c r="D83" s="225">
        <v>36860</v>
      </c>
      <c r="E83" s="230"/>
      <c r="F83" s="230"/>
      <c r="G83" s="230">
        <f t="shared" si="2"/>
        <v>36860</v>
      </c>
    </row>
    <row r="84" spans="1:8" ht="87" customHeight="1">
      <c r="A84" s="242">
        <v>40</v>
      </c>
      <c r="B84" s="243" t="s">
        <v>427</v>
      </c>
      <c r="C84" s="244"/>
      <c r="D84" s="245">
        <f>SUM(D85:D91)</f>
        <v>71412921</v>
      </c>
      <c r="E84" s="245"/>
      <c r="F84" s="245">
        <f>SUM(F86:F96)</f>
        <v>86534413</v>
      </c>
      <c r="G84" s="245">
        <f t="shared" si="2"/>
        <v>157947334</v>
      </c>
      <c r="H84" s="221"/>
    </row>
    <row r="85" spans="1:7" s="253" customFormat="1" ht="51.75" customHeight="1">
      <c r="A85" s="224">
        <v>100203</v>
      </c>
      <c r="B85" s="156" t="s">
        <v>642</v>
      </c>
      <c r="C85" s="545" t="s">
        <v>428</v>
      </c>
      <c r="D85" s="225">
        <f>63181576-60000+6457465</f>
        <v>69579041</v>
      </c>
      <c r="E85" s="229"/>
      <c r="F85" s="225"/>
      <c r="G85" s="230">
        <f t="shared" si="2"/>
        <v>69579041</v>
      </c>
    </row>
    <row r="86" spans="1:7" s="253" customFormat="1" ht="125.25" customHeight="1">
      <c r="A86" s="224">
        <v>180410</v>
      </c>
      <c r="B86" s="156" t="s">
        <v>322</v>
      </c>
      <c r="C86" s="545"/>
      <c r="D86" s="225">
        <v>1833880</v>
      </c>
      <c r="E86" s="229"/>
      <c r="F86" s="225"/>
      <c r="G86" s="230">
        <f t="shared" si="2"/>
        <v>1833880</v>
      </c>
    </row>
    <row r="87" spans="1:7" s="253" customFormat="1" ht="117" customHeight="1">
      <c r="A87" s="224">
        <v>170703</v>
      </c>
      <c r="B87" s="156" t="s">
        <v>845</v>
      </c>
      <c r="C87" s="143"/>
      <c r="D87" s="225"/>
      <c r="E87" s="550" t="s">
        <v>428</v>
      </c>
      <c r="F87" s="225">
        <v>1659449</v>
      </c>
      <c r="G87" s="230">
        <f>SUM(F87)</f>
        <v>1659449</v>
      </c>
    </row>
    <row r="88" spans="1:7" s="253" customFormat="1" ht="74.25" customHeight="1">
      <c r="A88" s="224">
        <v>150101</v>
      </c>
      <c r="B88" s="156" t="s">
        <v>598</v>
      </c>
      <c r="C88" s="143"/>
      <c r="D88" s="225"/>
      <c r="E88" s="550"/>
      <c r="F88" s="225">
        <f>44854440+13620267</f>
        <v>58474707</v>
      </c>
      <c r="G88" s="230">
        <f>SUM(F88)</f>
        <v>58474707</v>
      </c>
    </row>
    <row r="89" spans="1:7" s="253" customFormat="1" ht="78.75" customHeight="1">
      <c r="A89" s="546">
        <v>240900</v>
      </c>
      <c r="B89" s="546" t="s">
        <v>762</v>
      </c>
      <c r="C89" s="143"/>
      <c r="D89" s="225"/>
      <c r="E89" s="550"/>
      <c r="F89" s="225">
        <f>25570156-6457465</f>
        <v>19112691</v>
      </c>
      <c r="G89" s="230">
        <f t="shared" si="2"/>
        <v>19112691</v>
      </c>
    </row>
    <row r="90" spans="1:7" s="253" customFormat="1" ht="140.25" customHeight="1">
      <c r="A90" s="547"/>
      <c r="B90" s="547"/>
      <c r="C90" s="143"/>
      <c r="D90" s="225"/>
      <c r="E90" s="138" t="s">
        <v>846</v>
      </c>
      <c r="F90" s="225">
        <v>251290</v>
      </c>
      <c r="G90" s="230">
        <f>SUM(F90)</f>
        <v>251290</v>
      </c>
    </row>
    <row r="91" spans="1:7" s="253" customFormat="1" ht="134.25" customHeight="1">
      <c r="A91" s="547"/>
      <c r="B91" s="547"/>
      <c r="C91" s="143"/>
      <c r="D91" s="225"/>
      <c r="E91" s="138" t="s">
        <v>425</v>
      </c>
      <c r="F91" s="225">
        <v>379620</v>
      </c>
      <c r="G91" s="230">
        <f t="shared" si="2"/>
        <v>379620</v>
      </c>
    </row>
    <row r="92" spans="1:7" s="253" customFormat="1" ht="201" customHeight="1">
      <c r="A92" s="547"/>
      <c r="B92" s="547"/>
      <c r="C92" s="143"/>
      <c r="D92" s="225"/>
      <c r="E92" s="225" t="s">
        <v>159</v>
      </c>
      <c r="F92" s="225">
        <v>10000</v>
      </c>
      <c r="G92" s="230">
        <f>SUM(F92)</f>
        <v>10000</v>
      </c>
    </row>
    <row r="93" spans="1:7" s="253" customFormat="1" ht="134.25" customHeight="1">
      <c r="A93" s="547"/>
      <c r="B93" s="547"/>
      <c r="C93" s="143"/>
      <c r="D93" s="225"/>
      <c r="E93" s="225" t="s">
        <v>847</v>
      </c>
      <c r="F93" s="225">
        <v>700074</v>
      </c>
      <c r="G93" s="230">
        <f>SUM(F93)</f>
        <v>700074</v>
      </c>
    </row>
    <row r="94" spans="1:7" s="253" customFormat="1" ht="186.75" customHeight="1">
      <c r="A94" s="548"/>
      <c r="B94" s="548"/>
      <c r="C94" s="143"/>
      <c r="D94" s="225"/>
      <c r="E94" s="254" t="s">
        <v>168</v>
      </c>
      <c r="F94" s="225">
        <v>25536</v>
      </c>
      <c r="G94" s="230">
        <f>SUM(F94)</f>
        <v>25536</v>
      </c>
    </row>
    <row r="95" spans="1:7" s="253" customFormat="1" ht="186.75" customHeight="1">
      <c r="A95" s="546">
        <v>150101</v>
      </c>
      <c r="B95" s="546" t="s">
        <v>598</v>
      </c>
      <c r="C95" s="143"/>
      <c r="D95" s="225"/>
      <c r="E95" s="225" t="s">
        <v>847</v>
      </c>
      <c r="F95" s="225">
        <v>221046</v>
      </c>
      <c r="G95" s="230">
        <f>SUM(F95)</f>
        <v>221046</v>
      </c>
    </row>
    <row r="96" spans="1:7" s="253" customFormat="1" ht="134.25" customHeight="1">
      <c r="A96" s="548"/>
      <c r="B96" s="548"/>
      <c r="C96" s="143"/>
      <c r="D96" s="225"/>
      <c r="E96" s="138" t="s">
        <v>848</v>
      </c>
      <c r="F96" s="225">
        <v>5700000</v>
      </c>
      <c r="G96" s="230">
        <f>SUM(F96)</f>
        <v>5700000</v>
      </c>
    </row>
    <row r="97" spans="1:8" ht="73.5" customHeight="1">
      <c r="A97" s="255">
        <v>13</v>
      </c>
      <c r="B97" s="243" t="s">
        <v>849</v>
      </c>
      <c r="C97" s="244"/>
      <c r="D97" s="256">
        <f>SUM(D98:D100)</f>
        <v>14692128</v>
      </c>
      <c r="E97" s="256"/>
      <c r="F97" s="256">
        <f>SUM(F98:F103)</f>
        <v>4139212</v>
      </c>
      <c r="G97" s="256">
        <f>D97+F97</f>
        <v>18831340</v>
      </c>
      <c r="H97" s="246"/>
    </row>
    <row r="98" spans="1:7" ht="53.25" customHeight="1">
      <c r="A98" s="257">
        <v>130102</v>
      </c>
      <c r="B98" s="143" t="s">
        <v>169</v>
      </c>
      <c r="C98" s="545" t="s">
        <v>850</v>
      </c>
      <c r="D98" s="258">
        <f>4167396+168049</f>
        <v>4335445</v>
      </c>
      <c r="E98" s="259"/>
      <c r="F98" s="259"/>
      <c r="G98" s="230">
        <f>SUM(D98+F98)</f>
        <v>4335445</v>
      </c>
    </row>
    <row r="99" spans="1:7" ht="63.75" customHeight="1">
      <c r="A99" s="257">
        <v>130107</v>
      </c>
      <c r="B99" s="156" t="s">
        <v>156</v>
      </c>
      <c r="C99" s="545"/>
      <c r="D99" s="258">
        <f>4731892+3011400</f>
        <v>7743292</v>
      </c>
      <c r="E99" s="259"/>
      <c r="F99" s="259"/>
      <c r="G99" s="230">
        <f>SUM(D99+F99)</f>
        <v>7743292</v>
      </c>
    </row>
    <row r="100" spans="1:7" ht="54" customHeight="1">
      <c r="A100" s="257">
        <v>130110</v>
      </c>
      <c r="B100" s="156" t="s">
        <v>851</v>
      </c>
      <c r="C100" s="545"/>
      <c r="D100" s="259">
        <f>2585900+27491</f>
        <v>2613391</v>
      </c>
      <c r="E100" s="259"/>
      <c r="F100" s="259"/>
      <c r="G100" s="230">
        <f>SUM(D100+F100)</f>
        <v>2613391</v>
      </c>
    </row>
    <row r="101" spans="1:7" ht="165" customHeight="1">
      <c r="A101" s="224">
        <v>150101</v>
      </c>
      <c r="B101" s="156" t="s">
        <v>598</v>
      </c>
      <c r="C101" s="260"/>
      <c r="D101" s="259"/>
      <c r="E101" s="138" t="s">
        <v>850</v>
      </c>
      <c r="F101" s="259">
        <v>3450400</v>
      </c>
      <c r="G101" s="230">
        <f>SUM(F101)</f>
        <v>3450400</v>
      </c>
    </row>
    <row r="102" spans="1:7" ht="151.5" customHeight="1">
      <c r="A102" s="545">
        <v>240900</v>
      </c>
      <c r="B102" s="544" t="s">
        <v>762</v>
      </c>
      <c r="C102" s="260"/>
      <c r="D102" s="259"/>
      <c r="E102" s="138" t="s">
        <v>850</v>
      </c>
      <c r="F102" s="259">
        <v>543860</v>
      </c>
      <c r="G102" s="230">
        <f>SUM(F102)</f>
        <v>543860</v>
      </c>
    </row>
    <row r="103" spans="1:7" ht="231" customHeight="1">
      <c r="A103" s="545"/>
      <c r="B103" s="544"/>
      <c r="C103" s="260"/>
      <c r="D103" s="259"/>
      <c r="E103" s="225" t="s">
        <v>159</v>
      </c>
      <c r="F103" s="259">
        <f>114760+30192</f>
        <v>144952</v>
      </c>
      <c r="G103" s="230">
        <f>SUM(F103)</f>
        <v>144952</v>
      </c>
    </row>
    <row r="104" spans="1:8" ht="83.25" customHeight="1">
      <c r="A104" s="255">
        <v>47</v>
      </c>
      <c r="B104" s="243" t="s">
        <v>19</v>
      </c>
      <c r="C104" s="242"/>
      <c r="D104" s="256">
        <f>SUM(D105)</f>
        <v>0</v>
      </c>
      <c r="E104" s="245"/>
      <c r="F104" s="256">
        <f>SUM(F105:F109)</f>
        <v>86565835</v>
      </c>
      <c r="G104" s="256">
        <f>F104+D104</f>
        <v>86565835</v>
      </c>
      <c r="H104" s="221"/>
    </row>
    <row r="105" spans="1:8" ht="207" customHeight="1">
      <c r="A105" s="544">
        <v>150101</v>
      </c>
      <c r="B105" s="544" t="s">
        <v>598</v>
      </c>
      <c r="C105" s="224"/>
      <c r="D105" s="261"/>
      <c r="E105" s="230" t="s">
        <v>852</v>
      </c>
      <c r="F105" s="258">
        <f>74960749-54785</f>
        <v>74905964</v>
      </c>
      <c r="G105" s="230">
        <f>SUM(D105+F105)</f>
        <v>74905964</v>
      </c>
      <c r="H105" s="211"/>
    </row>
    <row r="106" spans="1:8" ht="207" customHeight="1">
      <c r="A106" s="544"/>
      <c r="B106" s="544"/>
      <c r="C106" s="224"/>
      <c r="D106" s="261"/>
      <c r="E106" s="138" t="s">
        <v>850</v>
      </c>
      <c r="F106" s="258">
        <v>2749300</v>
      </c>
      <c r="G106" s="230">
        <f>SUM(F106)</f>
        <v>2749300</v>
      </c>
      <c r="H106" s="211"/>
    </row>
    <row r="107" spans="1:8" ht="207" customHeight="1">
      <c r="A107" s="544"/>
      <c r="B107" s="544"/>
      <c r="C107" s="224"/>
      <c r="D107" s="261"/>
      <c r="E107" s="138" t="s">
        <v>848</v>
      </c>
      <c r="F107" s="258">
        <v>5970940</v>
      </c>
      <c r="G107" s="230">
        <f>SUM(F107)</f>
        <v>5970940</v>
      </c>
      <c r="H107" s="211"/>
    </row>
    <row r="108" spans="1:8" ht="207" customHeight="1">
      <c r="A108" s="544"/>
      <c r="B108" s="544"/>
      <c r="C108" s="224"/>
      <c r="D108" s="261"/>
      <c r="E108" s="138" t="s">
        <v>853</v>
      </c>
      <c r="F108" s="258">
        <v>2434926</v>
      </c>
      <c r="G108" s="230">
        <f>SUM(F108)</f>
        <v>2434926</v>
      </c>
      <c r="H108" s="211"/>
    </row>
    <row r="109" spans="1:8" ht="186" customHeight="1">
      <c r="A109" s="544"/>
      <c r="B109" s="544"/>
      <c r="C109" s="224"/>
      <c r="D109" s="261"/>
      <c r="E109" s="229" t="s">
        <v>168</v>
      </c>
      <c r="F109" s="258">
        <f>449920+54785</f>
        <v>504705</v>
      </c>
      <c r="G109" s="230">
        <f>SUM(F109)</f>
        <v>504705</v>
      </c>
      <c r="H109" s="211"/>
    </row>
    <row r="110" spans="1:8" ht="120.75" customHeight="1">
      <c r="A110" s="255">
        <v>52</v>
      </c>
      <c r="B110" s="243" t="s">
        <v>345</v>
      </c>
      <c r="C110" s="262"/>
      <c r="D110" s="256">
        <f>SUM(D111:D116)</f>
        <v>481505</v>
      </c>
      <c r="E110" s="256"/>
      <c r="F110" s="256">
        <f>SUM(F111:F116)</f>
        <v>2381840</v>
      </c>
      <c r="G110" s="256">
        <f>F110+D110</f>
        <v>2863345</v>
      </c>
      <c r="H110" s="221"/>
    </row>
    <row r="111" spans="1:7" ht="108" customHeight="1">
      <c r="A111" s="247">
        <v>180410</v>
      </c>
      <c r="B111" s="156" t="s">
        <v>322</v>
      </c>
      <c r="C111" s="224" t="s">
        <v>847</v>
      </c>
      <c r="D111" s="258">
        <v>156327</v>
      </c>
      <c r="E111" s="225"/>
      <c r="F111" s="259"/>
      <c r="G111" s="230">
        <f>SUM(D111+F111)</f>
        <v>156327</v>
      </c>
    </row>
    <row r="112" spans="1:7" ht="181.5" customHeight="1">
      <c r="A112" s="247">
        <v>180410</v>
      </c>
      <c r="B112" s="156" t="s">
        <v>322</v>
      </c>
      <c r="C112" s="143" t="s">
        <v>854</v>
      </c>
      <c r="D112" s="230">
        <v>325178</v>
      </c>
      <c r="E112" s="138"/>
      <c r="F112" s="259"/>
      <c r="G112" s="230">
        <f>SUM(D112+F112)</f>
        <v>325178</v>
      </c>
    </row>
    <row r="113" spans="1:7" ht="136.5" customHeight="1">
      <c r="A113" s="545">
        <v>240900</v>
      </c>
      <c r="B113" s="544" t="s">
        <v>762</v>
      </c>
      <c r="C113" s="143"/>
      <c r="D113" s="230"/>
      <c r="E113" s="225" t="s">
        <v>847</v>
      </c>
      <c r="F113" s="259">
        <v>127300</v>
      </c>
      <c r="G113" s="230">
        <f>SUM(F113)</f>
        <v>127300</v>
      </c>
    </row>
    <row r="114" spans="1:7" ht="196.5" customHeight="1">
      <c r="A114" s="545"/>
      <c r="B114" s="544"/>
      <c r="C114" s="143"/>
      <c r="D114" s="230"/>
      <c r="E114" s="225" t="s">
        <v>159</v>
      </c>
      <c r="F114" s="259">
        <v>10000</v>
      </c>
      <c r="G114" s="230">
        <f>SUM(F114)</f>
        <v>10000</v>
      </c>
    </row>
    <row r="115" spans="1:7" ht="172.5" customHeight="1">
      <c r="A115" s="545"/>
      <c r="B115" s="544"/>
      <c r="C115" s="143"/>
      <c r="D115" s="230"/>
      <c r="E115" s="230" t="s">
        <v>854</v>
      </c>
      <c r="F115" s="258">
        <v>1794398</v>
      </c>
      <c r="G115" s="230">
        <f>SUM(D115+F115)</f>
        <v>1794398</v>
      </c>
    </row>
    <row r="116" spans="1:7" ht="145.5" customHeight="1">
      <c r="A116" s="222">
        <v>240601</v>
      </c>
      <c r="B116" s="156" t="s">
        <v>445</v>
      </c>
      <c r="C116" s="222"/>
      <c r="D116" s="230"/>
      <c r="E116" s="230" t="s">
        <v>855</v>
      </c>
      <c r="F116" s="258">
        <v>450142</v>
      </c>
      <c r="G116" s="230">
        <f>SUM(D116+F116)</f>
        <v>450142</v>
      </c>
    </row>
    <row r="117" spans="1:8" ht="78.75" customHeight="1">
      <c r="A117" s="255">
        <v>48</v>
      </c>
      <c r="B117" s="243" t="s">
        <v>44</v>
      </c>
      <c r="C117" s="242"/>
      <c r="D117" s="256">
        <f>SUM(D122:D122)</f>
        <v>0</v>
      </c>
      <c r="E117" s="263"/>
      <c r="F117" s="263">
        <f>SUM(F118:F127)</f>
        <v>10413732</v>
      </c>
      <c r="G117" s="263">
        <f>F117+D117</f>
        <v>10413732</v>
      </c>
      <c r="H117" s="246"/>
    </row>
    <row r="118" spans="1:7" ht="98.25" customHeight="1">
      <c r="A118" s="247">
        <v>250500</v>
      </c>
      <c r="B118" s="264" t="s">
        <v>12</v>
      </c>
      <c r="C118" s="265"/>
      <c r="D118" s="261"/>
      <c r="E118" s="555" t="s">
        <v>45</v>
      </c>
      <c r="F118" s="266">
        <v>342000</v>
      </c>
      <c r="G118" s="267">
        <f>SUM(D118+F118)</f>
        <v>342000</v>
      </c>
    </row>
    <row r="119" spans="1:7" ht="98.25" customHeight="1" thickBot="1">
      <c r="A119" s="247">
        <v>150202</v>
      </c>
      <c r="B119" s="143" t="s">
        <v>738</v>
      </c>
      <c r="C119" s="265"/>
      <c r="D119" s="261"/>
      <c r="E119" s="555"/>
      <c r="F119" s="266">
        <v>377325</v>
      </c>
      <c r="G119" s="267">
        <f>SUM(F119)</f>
        <v>377325</v>
      </c>
    </row>
    <row r="120" spans="1:7" ht="98.25" customHeight="1" thickBot="1">
      <c r="A120" s="268">
        <v>220200</v>
      </c>
      <c r="B120" s="269" t="s">
        <v>756</v>
      </c>
      <c r="C120" s="265"/>
      <c r="D120" s="261"/>
      <c r="E120" s="555"/>
      <c r="F120" s="266">
        <v>2459</v>
      </c>
      <c r="G120" s="267">
        <f>SUM(F120)</f>
        <v>2459</v>
      </c>
    </row>
    <row r="121" spans="1:7" ht="51.75" customHeight="1">
      <c r="A121" s="247">
        <v>160101</v>
      </c>
      <c r="B121" s="241" t="s">
        <v>9</v>
      </c>
      <c r="C121" s="265"/>
      <c r="D121" s="261"/>
      <c r="E121" s="555"/>
      <c r="F121" s="266">
        <v>41800</v>
      </c>
      <c r="G121" s="267">
        <f>SUM(D121+F121)</f>
        <v>41800</v>
      </c>
    </row>
    <row r="122" spans="1:7" ht="97.5" customHeight="1">
      <c r="A122" s="549">
        <v>240900</v>
      </c>
      <c r="B122" s="544" t="s">
        <v>762</v>
      </c>
      <c r="C122" s="222"/>
      <c r="D122" s="259"/>
      <c r="E122" s="555"/>
      <c r="F122" s="270">
        <v>5934079</v>
      </c>
      <c r="G122" s="267">
        <f>SUM(D122+F122)</f>
        <v>5934079</v>
      </c>
    </row>
    <row r="123" spans="1:7" ht="145.5" customHeight="1">
      <c r="A123" s="549"/>
      <c r="B123" s="544"/>
      <c r="C123" s="222"/>
      <c r="D123" s="259"/>
      <c r="E123" s="271" t="s">
        <v>46</v>
      </c>
      <c r="F123" s="270">
        <v>440800</v>
      </c>
      <c r="G123" s="267">
        <f>SUM(D123+F123)</f>
        <v>440800</v>
      </c>
    </row>
    <row r="124" spans="1:7" ht="156" customHeight="1">
      <c r="A124" s="549"/>
      <c r="B124" s="544"/>
      <c r="C124" s="222"/>
      <c r="D124" s="259"/>
      <c r="E124" s="271" t="s">
        <v>47</v>
      </c>
      <c r="F124" s="270">
        <v>298376</v>
      </c>
      <c r="G124" s="267">
        <f>SUM(D124+F124)</f>
        <v>298376</v>
      </c>
    </row>
    <row r="125" spans="1:7" ht="215.25" customHeight="1">
      <c r="A125" s="549"/>
      <c r="B125" s="544"/>
      <c r="C125" s="222"/>
      <c r="D125" s="259"/>
      <c r="E125" s="225" t="s">
        <v>159</v>
      </c>
      <c r="F125" s="270">
        <v>10000</v>
      </c>
      <c r="G125" s="267">
        <f>SUM(D125+F125)</f>
        <v>10000</v>
      </c>
    </row>
    <row r="126" spans="1:7" ht="156" customHeight="1">
      <c r="A126" s="549"/>
      <c r="B126" s="544"/>
      <c r="C126" s="222"/>
      <c r="D126" s="259"/>
      <c r="E126" s="271" t="s">
        <v>855</v>
      </c>
      <c r="F126" s="270">
        <v>1155872</v>
      </c>
      <c r="G126" s="267">
        <f>SUM(F126)</f>
        <v>1155872</v>
      </c>
    </row>
    <row r="127" spans="1:7" ht="156" customHeight="1">
      <c r="A127" s="247">
        <v>150202</v>
      </c>
      <c r="B127" s="143" t="s">
        <v>738</v>
      </c>
      <c r="C127" s="222"/>
      <c r="D127" s="259"/>
      <c r="E127" s="271" t="s">
        <v>46</v>
      </c>
      <c r="F127" s="270">
        <f>101021+1710000</f>
        <v>1811021</v>
      </c>
      <c r="G127" s="267">
        <f>SUM(D127+F127)</f>
        <v>1811021</v>
      </c>
    </row>
    <row r="128" spans="1:8" ht="147.75" customHeight="1">
      <c r="A128" s="255">
        <v>68</v>
      </c>
      <c r="B128" s="243" t="s">
        <v>287</v>
      </c>
      <c r="C128" s="262"/>
      <c r="D128" s="256">
        <f>SUM(D129:D130)</f>
        <v>191</v>
      </c>
      <c r="E128" s="263"/>
      <c r="F128" s="272">
        <f>SUM(F131)</f>
        <v>167200</v>
      </c>
      <c r="G128" s="272">
        <f>D128+F128</f>
        <v>167391</v>
      </c>
      <c r="H128" s="246"/>
    </row>
    <row r="129" spans="1:7" ht="125.25" customHeight="1">
      <c r="A129" s="257">
        <v>210106</v>
      </c>
      <c r="B129" s="233" t="s">
        <v>634</v>
      </c>
      <c r="C129" s="222" t="s">
        <v>48</v>
      </c>
      <c r="D129" s="259">
        <f>87031-86900</f>
        <v>131</v>
      </c>
      <c r="E129" s="273"/>
      <c r="F129" s="273"/>
      <c r="G129" s="267">
        <f>SUM(D129+F129)</f>
        <v>131</v>
      </c>
    </row>
    <row r="130" spans="1:7" ht="225.75" customHeight="1">
      <c r="A130" s="257">
        <v>210107</v>
      </c>
      <c r="B130" s="274" t="s">
        <v>578</v>
      </c>
      <c r="C130" s="222" t="s">
        <v>485</v>
      </c>
      <c r="D130" s="259">
        <f>161660-131100-30500</f>
        <v>60</v>
      </c>
      <c r="E130" s="273"/>
      <c r="F130" s="273"/>
      <c r="G130" s="267">
        <f>SUM(D130+F130)</f>
        <v>60</v>
      </c>
    </row>
    <row r="131" spans="1:7" ht="185.25" customHeight="1">
      <c r="A131" s="224">
        <v>240900</v>
      </c>
      <c r="B131" s="156" t="s">
        <v>762</v>
      </c>
      <c r="C131" s="222"/>
      <c r="D131" s="259"/>
      <c r="E131" s="230" t="s">
        <v>48</v>
      </c>
      <c r="F131" s="273">
        <v>167200</v>
      </c>
      <c r="G131" s="267">
        <f>SUM(F131)</f>
        <v>167200</v>
      </c>
    </row>
    <row r="132" spans="1:8" ht="96.75" customHeight="1">
      <c r="A132" s="255" t="s">
        <v>49</v>
      </c>
      <c r="B132" s="275" t="s">
        <v>644</v>
      </c>
      <c r="C132" s="242"/>
      <c r="D132" s="256">
        <f>SUM(D133)</f>
        <v>660</v>
      </c>
      <c r="E132" s="256"/>
      <c r="F132" s="256">
        <f>SUM(F133:F134)</f>
        <v>449312</v>
      </c>
      <c r="G132" s="256">
        <f>D132+F132</f>
        <v>449972</v>
      </c>
      <c r="H132" s="246"/>
    </row>
    <row r="133" spans="1:8" ht="135.75" customHeight="1">
      <c r="A133" s="247">
        <v>180410</v>
      </c>
      <c r="B133" s="224" t="s">
        <v>581</v>
      </c>
      <c r="C133" s="224" t="s">
        <v>50</v>
      </c>
      <c r="D133" s="258">
        <f>451820-451160</f>
        <v>660</v>
      </c>
      <c r="E133" s="261"/>
      <c r="F133" s="261"/>
      <c r="G133" s="261">
        <f>D133+F133</f>
        <v>660</v>
      </c>
      <c r="H133" s="246"/>
    </row>
    <row r="134" spans="1:8" ht="218.25" customHeight="1">
      <c r="A134" s="224">
        <v>240900</v>
      </c>
      <c r="B134" s="156" t="s">
        <v>762</v>
      </c>
      <c r="C134" s="224"/>
      <c r="D134" s="261"/>
      <c r="E134" s="225" t="s">
        <v>159</v>
      </c>
      <c r="F134" s="258">
        <v>449312</v>
      </c>
      <c r="G134" s="261">
        <f>F134</f>
        <v>449312</v>
      </c>
      <c r="H134" s="246"/>
    </row>
    <row r="135" spans="1:8" ht="78.75" customHeight="1">
      <c r="A135" s="276">
        <v>32</v>
      </c>
      <c r="B135" s="277" t="s">
        <v>393</v>
      </c>
      <c r="C135" s="244"/>
      <c r="D135" s="256">
        <f>SUM(D136)</f>
        <v>167820</v>
      </c>
      <c r="E135" s="263"/>
      <c r="F135" s="272">
        <f>SUM(F137:F138)</f>
        <v>1230526</v>
      </c>
      <c r="G135" s="256">
        <f>D135+F135</f>
        <v>1398346</v>
      </c>
      <c r="H135" s="221"/>
    </row>
    <row r="136" spans="1:7" s="253" customFormat="1" ht="141" customHeight="1">
      <c r="A136" s="224">
        <v>180404</v>
      </c>
      <c r="B136" s="156" t="s">
        <v>423</v>
      </c>
      <c r="C136" s="224" t="s">
        <v>589</v>
      </c>
      <c r="D136" s="225">
        <f>220020-52200</f>
        <v>167820</v>
      </c>
      <c r="E136" s="278"/>
      <c r="F136" s="279"/>
      <c r="G136" s="230">
        <f>SUM(D136+F136)</f>
        <v>167820</v>
      </c>
    </row>
    <row r="137" spans="1:7" s="253" customFormat="1" ht="204.75" customHeight="1">
      <c r="A137" s="544">
        <v>240900</v>
      </c>
      <c r="B137" s="544" t="s">
        <v>762</v>
      </c>
      <c r="C137" s="224"/>
      <c r="D137" s="225"/>
      <c r="E137" s="225" t="s">
        <v>159</v>
      </c>
      <c r="F137" s="279">
        <f>190000-105000</f>
        <v>85000</v>
      </c>
      <c r="G137" s="230">
        <f>SUM(F137)</f>
        <v>85000</v>
      </c>
    </row>
    <row r="138" spans="1:7" s="253" customFormat="1" ht="141" customHeight="1">
      <c r="A138" s="544"/>
      <c r="B138" s="544"/>
      <c r="C138" s="224"/>
      <c r="D138" s="225"/>
      <c r="E138" s="225" t="s">
        <v>589</v>
      </c>
      <c r="F138" s="279">
        <v>1145526</v>
      </c>
      <c r="G138" s="230">
        <f>SUM(F138)</f>
        <v>1145526</v>
      </c>
    </row>
    <row r="139" spans="1:8" ht="85.5" customHeight="1">
      <c r="A139" s="255">
        <v>75</v>
      </c>
      <c r="B139" s="277" t="s">
        <v>126</v>
      </c>
      <c r="C139" s="244"/>
      <c r="D139" s="256">
        <f>SUM(D140:D141)</f>
        <v>716100</v>
      </c>
      <c r="E139" s="263"/>
      <c r="F139" s="256">
        <f>SUM(F140:F141)</f>
        <v>0</v>
      </c>
      <c r="G139" s="256">
        <f>SUM(G140:G141)</f>
        <v>716100</v>
      </c>
      <c r="H139" s="246"/>
    </row>
    <row r="140" spans="1:7" ht="235.5" customHeight="1">
      <c r="A140" s="247">
        <v>180410</v>
      </c>
      <c r="B140" s="196" t="s">
        <v>581</v>
      </c>
      <c r="C140" s="224" t="s">
        <v>159</v>
      </c>
      <c r="D140" s="230">
        <f>171000+300000</f>
        <v>471000</v>
      </c>
      <c r="E140" s="280"/>
      <c r="F140" s="281"/>
      <c r="G140" s="267">
        <f>SUM(D140+F140)</f>
        <v>471000</v>
      </c>
    </row>
    <row r="141" spans="1:8" ht="149.25" customHeight="1">
      <c r="A141" s="257">
        <v>210106</v>
      </c>
      <c r="B141" s="274" t="s">
        <v>634</v>
      </c>
      <c r="C141" s="222" t="s">
        <v>48</v>
      </c>
      <c r="D141" s="259">
        <v>245100</v>
      </c>
      <c r="E141" s="273"/>
      <c r="F141" s="273"/>
      <c r="G141" s="267">
        <f>SUM(D141+F141)</f>
        <v>245100</v>
      </c>
      <c r="H141" s="211"/>
    </row>
    <row r="142" spans="1:10" ht="45" customHeight="1">
      <c r="A142" s="255" t="s">
        <v>704</v>
      </c>
      <c r="B142" s="255"/>
      <c r="C142" s="255"/>
      <c r="D142" s="256">
        <f>SUM(D11+D26+D45+D52+D64+D72+D81+D84+D97+D104+D110+D117+D128+D132+D135+D139)</f>
        <v>163933613.65</v>
      </c>
      <c r="E142" s="256"/>
      <c r="F142" s="256">
        <f>SUM(F11+F26+F45+F52+F64+F72+F81+F84+F97+F104+F110+F117+F128+F132+F135+F139)</f>
        <v>222606504</v>
      </c>
      <c r="G142" s="256">
        <f>D142+F142</f>
        <v>386540117.65</v>
      </c>
      <c r="H142" s="221">
        <f>SUM(G11+G26+G45+G52+G64+G72+G81+G84+G97+G104+G110+G117+G128+G132+G135+G139)</f>
        <v>386540117.65</v>
      </c>
      <c r="I142" s="554"/>
      <c r="J142" s="554"/>
    </row>
    <row r="143" spans="7:8" ht="34.5">
      <c r="G143" s="282"/>
      <c r="H143" s="211"/>
    </row>
    <row r="144" ht="34.5">
      <c r="F144" s="221"/>
    </row>
    <row r="145" spans="6:8" ht="34.5">
      <c r="F145" s="221"/>
      <c r="G145" s="282"/>
      <c r="H145" s="283"/>
    </row>
    <row r="146" spans="6:8" ht="34.5">
      <c r="F146" s="221"/>
      <c r="G146" s="282">
        <f>SUM(D142+F142)</f>
        <v>386540117.65</v>
      </c>
      <c r="H146" s="283"/>
    </row>
    <row r="147" spans="6:8" ht="34.5">
      <c r="F147" s="221"/>
      <c r="G147" s="282">
        <f>SUM(G11+G26+G45+G52+G64+G72+G81+G84+G97+G104+G110+G117+G128+G132+G135+G139)</f>
        <v>386540117.65</v>
      </c>
      <c r="H147" s="283"/>
    </row>
    <row r="148" spans="6:8" ht="34.5">
      <c r="F148" s="221"/>
      <c r="G148" s="282"/>
      <c r="H148" s="283"/>
    </row>
  </sheetData>
  <mergeCells count="52">
    <mergeCell ref="A79:A80"/>
    <mergeCell ref="B79:B80"/>
    <mergeCell ref="A70:A71"/>
    <mergeCell ref="B70:B71"/>
    <mergeCell ref="I142:J142"/>
    <mergeCell ref="E118:E122"/>
    <mergeCell ref="A122:A126"/>
    <mergeCell ref="B122:B126"/>
    <mergeCell ref="A137:A138"/>
    <mergeCell ref="B137:B138"/>
    <mergeCell ref="A105:A109"/>
    <mergeCell ref="B105:B109"/>
    <mergeCell ref="A113:A115"/>
    <mergeCell ref="B113:B115"/>
    <mergeCell ref="A95:A96"/>
    <mergeCell ref="B95:B96"/>
    <mergeCell ref="C98:C100"/>
    <mergeCell ref="A102:A103"/>
    <mergeCell ref="B102:B103"/>
    <mergeCell ref="C82:C83"/>
    <mergeCell ref="C85:C86"/>
    <mergeCell ref="E87:E89"/>
    <mergeCell ref="A89:A94"/>
    <mergeCell ref="B89:B94"/>
    <mergeCell ref="C65:C68"/>
    <mergeCell ref="C73:C77"/>
    <mergeCell ref="E73:E76"/>
    <mergeCell ref="E78:E79"/>
    <mergeCell ref="A50:A51"/>
    <mergeCell ref="B50:B51"/>
    <mergeCell ref="C54:C60"/>
    <mergeCell ref="A61:A63"/>
    <mergeCell ref="B61:B63"/>
    <mergeCell ref="D48:D49"/>
    <mergeCell ref="E48:E49"/>
    <mergeCell ref="F48:F49"/>
    <mergeCell ref="G48:G49"/>
    <mergeCell ref="C27:C37"/>
    <mergeCell ref="A40:A42"/>
    <mergeCell ref="B40:B42"/>
    <mergeCell ref="C46:C48"/>
    <mergeCell ref="A48:A49"/>
    <mergeCell ref="B48:B49"/>
    <mergeCell ref="C14:C15"/>
    <mergeCell ref="A19:A21"/>
    <mergeCell ref="B19:B21"/>
    <mergeCell ref="A23:A24"/>
    <mergeCell ref="B23:B24"/>
    <mergeCell ref="B7:E7"/>
    <mergeCell ref="C9:D9"/>
    <mergeCell ref="E9:F9"/>
    <mergeCell ref="C12:C13"/>
  </mergeCells>
  <printOptions/>
  <pageMargins left="0.3937007874015748" right="0.3937007874015748" top="0.5905511811023623" bottom="0.3937007874015748" header="0.5118110236220472" footer="0.5118110236220472"/>
  <pageSetup fitToHeight="11" horizontalDpi="600" verticalDpi="600" orientation="landscape" paperSize="9"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2014-10-13T05:19:10Z</cp:lastPrinted>
  <dcterms:created xsi:type="dcterms:W3CDTF">1996-10-08T23:32:33Z</dcterms:created>
  <dcterms:modified xsi:type="dcterms:W3CDTF">2014-10-13T05:24:25Z</dcterms:modified>
  <cp:category/>
  <cp:version/>
  <cp:contentType/>
  <cp:contentStatus/>
</cp:coreProperties>
</file>